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ział Organizacyjno Prawny\ZAMÓWIENIA PUBLICZNE\ZP 2019\ZP 4-2019 - aparat do badań serologicznych\"/>
    </mc:Choice>
  </mc:AlternateContent>
  <bookViews>
    <workbookView xWindow="0" yWindow="0" windowWidth="21615" windowHeight="12060" firstSheet="3" activeTab="3"/>
  </bookViews>
  <sheets>
    <sheet name="Techno + Lyra + IH-500" sheetId="1" state="hidden" r:id="rId1"/>
    <sheet name="v.2 Techno" sheetId="2" state="hidden" r:id="rId2"/>
    <sheet name="IH-1000" sheetId="3" state="hidden" r:id="rId3"/>
    <sheet name="FORMULARZ OFERTY" sheetId="4" r:id="rId4"/>
  </sheets>
  <definedNames>
    <definedName name="_xlnm.Print_Area" localSheetId="3">'FORMULARZ OFERTY'!$A$1:$L$99</definedName>
    <definedName name="_xlnm.Print_Area" localSheetId="2">'IH-1000'!$A$1:$L$38</definedName>
    <definedName name="_xlnm.Print_Area" localSheetId="0">'Techno + Lyra + IH-500'!$A$1:$L$42</definedName>
    <definedName name="_xlnm.Print_Area" localSheetId="1">'v.2 Techno'!$A$1:$L$55</definedName>
  </definedNames>
  <calcPr calcId="152511"/>
</workbook>
</file>

<file path=xl/calcChain.xml><?xml version="1.0" encoding="utf-8"?>
<calcChain xmlns="http://schemas.openxmlformats.org/spreadsheetml/2006/main">
  <c r="J59" i="4" l="1"/>
  <c r="L54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J53" i="4"/>
  <c r="L53" i="4" s="1"/>
  <c r="J54" i="4"/>
  <c r="J55" i="4"/>
  <c r="L55" i="4" s="1"/>
  <c r="J56" i="4"/>
  <c r="J57" i="4"/>
  <c r="J58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52" i="4"/>
  <c r="L52" i="4" s="1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40" i="4"/>
  <c r="L41" i="4"/>
  <c r="L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L39" i="4" s="1"/>
  <c r="J40" i="4"/>
  <c r="J41" i="4"/>
  <c r="J4" i="4"/>
  <c r="J90" i="4" l="1"/>
  <c r="L90" i="4"/>
  <c r="J96" i="4" l="1"/>
  <c r="J46" i="4"/>
  <c r="L46" i="4" s="1"/>
  <c r="J94" i="4"/>
  <c r="L94" i="4" s="1"/>
  <c r="L96" i="4" s="1"/>
  <c r="D11" i="3"/>
  <c r="H11" i="3"/>
  <c r="K11" i="3" s="1"/>
  <c r="O11" i="3"/>
  <c r="P11" i="3" s="1"/>
  <c r="P33" i="3" s="1"/>
  <c r="R11" i="3"/>
  <c r="F12" i="3"/>
  <c r="G12" i="3"/>
  <c r="H12" i="3" s="1"/>
  <c r="K12" i="3" s="1"/>
  <c r="O12" i="3"/>
  <c r="P12" i="3" s="1"/>
  <c r="D13" i="3"/>
  <c r="H13" i="3"/>
  <c r="J13" i="3"/>
  <c r="L13" i="3" s="1"/>
  <c r="O13" i="3"/>
  <c r="P13" i="3" s="1"/>
  <c r="R13" i="3"/>
  <c r="H14" i="3"/>
  <c r="J14" i="3"/>
  <c r="L14" i="3" s="1"/>
  <c r="K14" i="3"/>
  <c r="O14" i="3"/>
  <c r="P14" i="3"/>
  <c r="H15" i="3"/>
  <c r="K15" i="3"/>
  <c r="O15" i="3"/>
  <c r="P15" i="3"/>
  <c r="O16" i="3"/>
  <c r="P16" i="3"/>
  <c r="D17" i="3"/>
  <c r="R17" i="3"/>
  <c r="H17" i="3"/>
  <c r="K17" i="3"/>
  <c r="J17" i="3"/>
  <c r="L17" i="3"/>
  <c r="O17" i="3"/>
  <c r="P17" i="3"/>
  <c r="D18" i="3"/>
  <c r="Q18" i="3"/>
  <c r="H18" i="3"/>
  <c r="K18" i="3"/>
  <c r="O18" i="3"/>
  <c r="P18" i="3"/>
  <c r="D19" i="3"/>
  <c r="H19" i="3"/>
  <c r="O19" i="3"/>
  <c r="P19" i="3" s="1"/>
  <c r="D20" i="3"/>
  <c r="Q20" i="3" s="1"/>
  <c r="H20" i="3"/>
  <c r="J20" i="3" s="1"/>
  <c r="L20" i="3"/>
  <c r="O20" i="3"/>
  <c r="P20" i="3"/>
  <c r="D21" i="3"/>
  <c r="H21" i="3"/>
  <c r="K21" i="3" s="1"/>
  <c r="O21" i="3"/>
  <c r="P21" i="3" s="1"/>
  <c r="Q21" i="3"/>
  <c r="D22" i="3"/>
  <c r="Q22" i="3"/>
  <c r="H22" i="3"/>
  <c r="J22" i="3"/>
  <c r="L22" i="3" s="1"/>
  <c r="K22" i="3"/>
  <c r="O22" i="3"/>
  <c r="P22" i="3"/>
  <c r="D23" i="3"/>
  <c r="H23" i="3"/>
  <c r="J23" i="3" s="1"/>
  <c r="L23" i="3" s="1"/>
  <c r="O23" i="3"/>
  <c r="P23" i="3"/>
  <c r="R23" i="3"/>
  <c r="D24" i="3"/>
  <c r="H24" i="3"/>
  <c r="J24" i="3"/>
  <c r="L24" i="3" s="1"/>
  <c r="O24" i="3"/>
  <c r="P24" i="3" s="1"/>
  <c r="J25" i="3"/>
  <c r="K25" i="3"/>
  <c r="L25" i="3"/>
  <c r="O25" i="3"/>
  <c r="P25" i="3"/>
  <c r="H26" i="3"/>
  <c r="J26" i="3" s="1"/>
  <c r="K26" i="3"/>
  <c r="L26" i="3"/>
  <c r="O26" i="3"/>
  <c r="P26" i="3"/>
  <c r="H27" i="3"/>
  <c r="K27" i="3"/>
  <c r="O27" i="3"/>
  <c r="P27" i="3"/>
  <c r="J28" i="3"/>
  <c r="K28" i="3"/>
  <c r="L28" i="3"/>
  <c r="O28" i="3"/>
  <c r="P28" i="3" s="1"/>
  <c r="J29" i="3"/>
  <c r="L29" i="3" s="1"/>
  <c r="K29" i="3"/>
  <c r="O29" i="3"/>
  <c r="P29" i="3"/>
  <c r="J30" i="3"/>
  <c r="L30" i="3"/>
  <c r="K30" i="3"/>
  <c r="O30" i="3"/>
  <c r="P30" i="3" s="1"/>
  <c r="J31" i="3"/>
  <c r="L31" i="3" s="1"/>
  <c r="K31" i="3"/>
  <c r="O31" i="3"/>
  <c r="P31" i="3"/>
  <c r="J32" i="3"/>
  <c r="L32" i="3"/>
  <c r="K32" i="3"/>
  <c r="O32" i="3"/>
  <c r="P32" i="3" s="1"/>
  <c r="J33" i="3"/>
  <c r="L33" i="3" s="1"/>
  <c r="K33" i="3"/>
  <c r="Q36" i="3"/>
  <c r="Q37" i="3"/>
  <c r="D11" i="2"/>
  <c r="H11" i="2"/>
  <c r="O11" i="2"/>
  <c r="P11" i="2" s="1"/>
  <c r="Q11" i="2"/>
  <c r="F12" i="2"/>
  <c r="H12" i="2"/>
  <c r="J12" i="2" s="1"/>
  <c r="L12" i="2"/>
  <c r="O12" i="2"/>
  <c r="P12" i="2"/>
  <c r="D13" i="2"/>
  <c r="R13" i="2"/>
  <c r="H13" i="2"/>
  <c r="J13" i="2"/>
  <c r="L13" i="2" s="1"/>
  <c r="O13" i="2"/>
  <c r="P13" i="2" s="1"/>
  <c r="F14" i="2"/>
  <c r="L14" i="2" s="1"/>
  <c r="G14" i="2"/>
  <c r="H14" i="2"/>
  <c r="J14" i="2" s="1"/>
  <c r="O14" i="2"/>
  <c r="D15" i="2"/>
  <c r="R15" i="2" s="1"/>
  <c r="H15" i="2"/>
  <c r="O15" i="2"/>
  <c r="P15" i="2" s="1"/>
  <c r="H16" i="2"/>
  <c r="O16" i="2"/>
  <c r="P16" i="2" s="1"/>
  <c r="H17" i="2"/>
  <c r="O17" i="2"/>
  <c r="P17" i="2" s="1"/>
  <c r="O18" i="2"/>
  <c r="P18" i="2" s="1"/>
  <c r="D19" i="2"/>
  <c r="Q19" i="2" s="1"/>
  <c r="H19" i="2"/>
  <c r="O19" i="2"/>
  <c r="P19" i="2" s="1"/>
  <c r="D20" i="2"/>
  <c r="Q20" i="2" s="1"/>
  <c r="H20" i="2"/>
  <c r="O20" i="2"/>
  <c r="P20" i="2" s="1"/>
  <c r="D21" i="2"/>
  <c r="H21" i="2"/>
  <c r="J21" i="2"/>
  <c r="L21" i="2" s="1"/>
  <c r="O21" i="2"/>
  <c r="P21" i="2" s="1"/>
  <c r="D22" i="2"/>
  <c r="Q22" i="2" s="1"/>
  <c r="H22" i="2"/>
  <c r="J22" i="2"/>
  <c r="L22" i="2" s="1"/>
  <c r="K22" i="2"/>
  <c r="O22" i="2"/>
  <c r="P22" i="2"/>
  <c r="O23" i="2"/>
  <c r="P23" i="2" s="1"/>
  <c r="Q23" i="2"/>
  <c r="D24" i="2"/>
  <c r="Q24" i="2"/>
  <c r="H24" i="2"/>
  <c r="J24" i="2"/>
  <c r="L24" i="2" s="1"/>
  <c r="O24" i="2"/>
  <c r="P24" i="2" s="1"/>
  <c r="D25" i="2"/>
  <c r="Q25" i="2" s="1"/>
  <c r="H25" i="2"/>
  <c r="K25" i="2" s="1"/>
  <c r="O25" i="2"/>
  <c r="P25" i="2" s="1"/>
  <c r="D26" i="2"/>
  <c r="H26" i="2"/>
  <c r="J26" i="2"/>
  <c r="L26" i="2" s="1"/>
  <c r="O26" i="2"/>
  <c r="P26" i="2" s="1"/>
  <c r="Q26" i="2"/>
  <c r="D27" i="2"/>
  <c r="G27" i="2"/>
  <c r="H27" i="2" s="1"/>
  <c r="J27" i="2" s="1"/>
  <c r="L27" i="2" s="1"/>
  <c r="O27" i="2"/>
  <c r="P27" i="2" s="1"/>
  <c r="Q27" i="2"/>
  <c r="D28" i="2"/>
  <c r="R28" i="2"/>
  <c r="H28" i="2"/>
  <c r="J28" i="2"/>
  <c r="L28" i="2" s="1"/>
  <c r="K28" i="2"/>
  <c r="O28" i="2"/>
  <c r="P28" i="2"/>
  <c r="D29" i="2"/>
  <c r="G29" i="2"/>
  <c r="H29" i="2" s="1"/>
  <c r="K29" i="2" s="1"/>
  <c r="O29" i="2"/>
  <c r="P29" i="2" s="1"/>
  <c r="R29" i="2"/>
  <c r="D30" i="2"/>
  <c r="Q30" i="2"/>
  <c r="H30" i="2"/>
  <c r="J30" i="2"/>
  <c r="L30" i="2" s="1"/>
  <c r="K30" i="2"/>
  <c r="O30" i="2"/>
  <c r="P30" i="2"/>
  <c r="D31" i="2"/>
  <c r="Q31" i="2"/>
  <c r="H31" i="2"/>
  <c r="J31" i="2"/>
  <c r="L31" i="2" s="1"/>
  <c r="O31" i="2"/>
  <c r="P31" i="2" s="1"/>
  <c r="D32" i="2"/>
  <c r="Q32" i="2" s="1"/>
  <c r="G32" i="2"/>
  <c r="H32" i="2"/>
  <c r="J32" i="2" s="1"/>
  <c r="L32" i="2" s="1"/>
  <c r="O32" i="2"/>
  <c r="P32" i="2"/>
  <c r="D33" i="2"/>
  <c r="Q33" i="2" s="1"/>
  <c r="H33" i="2"/>
  <c r="O33" i="2"/>
  <c r="P33" i="2" s="1"/>
  <c r="D34" i="2"/>
  <c r="Q34" i="2" s="1"/>
  <c r="G34" i="2"/>
  <c r="H34" i="2"/>
  <c r="O34" i="2"/>
  <c r="P34" i="2" s="1"/>
  <c r="D35" i="2"/>
  <c r="R35" i="2"/>
  <c r="H35" i="2"/>
  <c r="J35" i="2"/>
  <c r="L35" i="2" s="1"/>
  <c r="K35" i="2"/>
  <c r="O35" i="2"/>
  <c r="P35" i="2"/>
  <c r="D36" i="2"/>
  <c r="R36" i="2"/>
  <c r="G36" i="2"/>
  <c r="H36" i="2"/>
  <c r="O36" i="2"/>
  <c r="P36" i="2"/>
  <c r="H37" i="2"/>
  <c r="J37" i="2"/>
  <c r="L37" i="2" s="1"/>
  <c r="K37" i="2"/>
  <c r="O37" i="2"/>
  <c r="P37" i="2"/>
  <c r="G38" i="2"/>
  <c r="H38" i="2"/>
  <c r="J38" i="2" s="1"/>
  <c r="O38" i="2"/>
  <c r="P38" i="2"/>
  <c r="D39" i="2"/>
  <c r="G39" i="2"/>
  <c r="H39" i="2" s="1"/>
  <c r="O39" i="2"/>
  <c r="P39" i="2" s="1"/>
  <c r="R39" i="2"/>
  <c r="D40" i="2"/>
  <c r="G40" i="2"/>
  <c r="H40" i="2" s="1"/>
  <c r="O40" i="2"/>
  <c r="P40" i="2" s="1"/>
  <c r="R40" i="2"/>
  <c r="G41" i="2"/>
  <c r="H41" i="2"/>
  <c r="O41" i="2"/>
  <c r="P41" i="2"/>
  <c r="G42" i="2"/>
  <c r="H42" i="2"/>
  <c r="O42" i="2"/>
  <c r="P42" i="2"/>
  <c r="J43" i="2"/>
  <c r="L43" i="2"/>
  <c r="K43" i="2"/>
  <c r="O43" i="2"/>
  <c r="P43" i="2" s="1"/>
  <c r="H44" i="2"/>
  <c r="J44" i="2" s="1"/>
  <c r="L44" i="2" s="1"/>
  <c r="O44" i="2"/>
  <c r="P44" i="2"/>
  <c r="H45" i="2"/>
  <c r="K45" i="2"/>
  <c r="O45" i="2"/>
  <c r="P45" i="2"/>
  <c r="J46" i="2"/>
  <c r="L46" i="2"/>
  <c r="K46" i="2"/>
  <c r="O46" i="2"/>
  <c r="P46" i="2" s="1"/>
  <c r="J47" i="2"/>
  <c r="L47" i="2" s="1"/>
  <c r="K47" i="2"/>
  <c r="O47" i="2"/>
  <c r="P47" i="2"/>
  <c r="J48" i="2"/>
  <c r="L48" i="2"/>
  <c r="K48" i="2"/>
  <c r="O48" i="2"/>
  <c r="P48" i="2" s="1"/>
  <c r="J49" i="2"/>
  <c r="L49" i="2" s="1"/>
  <c r="K49" i="2"/>
  <c r="O49" i="2"/>
  <c r="P49" i="2"/>
  <c r="J50" i="2"/>
  <c r="L50" i="2"/>
  <c r="K50" i="2"/>
  <c r="Q53" i="2"/>
  <c r="Q54" i="2" s="1"/>
  <c r="D11" i="1"/>
  <c r="Q11" i="1" s="1"/>
  <c r="H11" i="1"/>
  <c r="J11" i="1"/>
  <c r="L11" i="1" s="1"/>
  <c r="K11" i="1"/>
  <c r="O11" i="1"/>
  <c r="P11" i="1"/>
  <c r="F12" i="1"/>
  <c r="H12" i="1"/>
  <c r="J12" i="1"/>
  <c r="O12" i="1"/>
  <c r="D13" i="1"/>
  <c r="R13" i="1"/>
  <c r="H13" i="1"/>
  <c r="J13" i="1"/>
  <c r="L13" i="1" s="1"/>
  <c r="O13" i="1"/>
  <c r="P13" i="1" s="1"/>
  <c r="F14" i="1"/>
  <c r="L14" i="1" s="1"/>
  <c r="G14" i="1"/>
  <c r="H14" i="1"/>
  <c r="O14" i="1"/>
  <c r="D15" i="1"/>
  <c r="R15" i="1" s="1"/>
  <c r="H15" i="1"/>
  <c r="J15" i="1" s="1"/>
  <c r="L15" i="1" s="1"/>
  <c r="O15" i="1"/>
  <c r="P15" i="1"/>
  <c r="H16" i="1"/>
  <c r="K16" i="1"/>
  <c r="O16" i="1"/>
  <c r="P16" i="1"/>
  <c r="H17" i="1"/>
  <c r="J17" i="1"/>
  <c r="L17" i="1" s="1"/>
  <c r="K17" i="1"/>
  <c r="O17" i="1"/>
  <c r="P17" i="1"/>
  <c r="O18" i="1"/>
  <c r="P18" i="1"/>
  <c r="D19" i="1"/>
  <c r="H19" i="1"/>
  <c r="O19" i="1"/>
  <c r="P19" i="1" s="1"/>
  <c r="Q19" i="1"/>
  <c r="D20" i="1"/>
  <c r="H20" i="1"/>
  <c r="O20" i="1"/>
  <c r="P20" i="1" s="1"/>
  <c r="Q20" i="1"/>
  <c r="D21" i="1"/>
  <c r="H21" i="1"/>
  <c r="O21" i="1"/>
  <c r="P21" i="1" s="1"/>
  <c r="D22" i="1"/>
  <c r="Q22" i="1" s="1"/>
  <c r="H22" i="1"/>
  <c r="J22" i="1"/>
  <c r="L22" i="1" s="1"/>
  <c r="K22" i="1"/>
  <c r="O22" i="1"/>
  <c r="P22" i="1"/>
  <c r="D23" i="1"/>
  <c r="Q23" i="1" s="1"/>
  <c r="H23" i="1"/>
  <c r="J23" i="1"/>
  <c r="L23" i="1" s="1"/>
  <c r="K23" i="1"/>
  <c r="O23" i="1"/>
  <c r="P23" i="1"/>
  <c r="D24" i="1"/>
  <c r="Q24" i="1" s="1"/>
  <c r="H24" i="1"/>
  <c r="J24" i="1"/>
  <c r="L24" i="1" s="1"/>
  <c r="K24" i="1"/>
  <c r="O24" i="1"/>
  <c r="P24" i="1"/>
  <c r="D25" i="1"/>
  <c r="R25" i="1" s="1"/>
  <c r="H25" i="1"/>
  <c r="J25" i="1"/>
  <c r="L25" i="1" s="1"/>
  <c r="K25" i="1"/>
  <c r="O25" i="1"/>
  <c r="P25" i="1"/>
  <c r="D26" i="1"/>
  <c r="H26" i="1"/>
  <c r="J26" i="1"/>
  <c r="L26" i="1" s="1"/>
  <c r="K26" i="1"/>
  <c r="O26" i="1"/>
  <c r="P26" i="1"/>
  <c r="J27" i="1"/>
  <c r="L27" i="1"/>
  <c r="K27" i="1"/>
  <c r="O27" i="1"/>
  <c r="P27" i="1" s="1"/>
  <c r="H28" i="1"/>
  <c r="O28" i="1"/>
  <c r="P28" i="1"/>
  <c r="H29" i="1"/>
  <c r="J29" i="1"/>
  <c r="L29" i="1" s="1"/>
  <c r="K29" i="1"/>
  <c r="O29" i="1"/>
  <c r="P29" i="1"/>
  <c r="J30" i="1"/>
  <c r="L30" i="1"/>
  <c r="K30" i="1"/>
  <c r="O30" i="1"/>
  <c r="P30" i="1" s="1"/>
  <c r="J31" i="1"/>
  <c r="L31" i="1" s="1"/>
  <c r="K31" i="1"/>
  <c r="O31" i="1"/>
  <c r="P31" i="1"/>
  <c r="J32" i="1"/>
  <c r="K32" i="1"/>
  <c r="L32" i="1"/>
  <c r="O32" i="1"/>
  <c r="P32" i="1" s="1"/>
  <c r="J33" i="1"/>
  <c r="L33" i="1" s="1"/>
  <c r="K33" i="1"/>
  <c r="O33" i="1"/>
  <c r="P33" i="1"/>
  <c r="J34" i="1"/>
  <c r="K34" i="1"/>
  <c r="L34" i="1"/>
  <c r="Q37" i="1"/>
  <c r="Q38" i="1"/>
  <c r="J42" i="2"/>
  <c r="L42" i="2" s="1"/>
  <c r="K42" i="2"/>
  <c r="K32" i="2"/>
  <c r="J16" i="1"/>
  <c r="L16" i="1"/>
  <c r="K15" i="1"/>
  <c r="K13" i="1"/>
  <c r="K21" i="2"/>
  <c r="K14" i="2"/>
  <c r="K24" i="3"/>
  <c r="K26" i="2"/>
  <c r="K24" i="2"/>
  <c r="J27" i="3"/>
  <c r="L27" i="3"/>
  <c r="J18" i="3"/>
  <c r="L18" i="3"/>
  <c r="J15" i="3"/>
  <c r="L15" i="3"/>
  <c r="K38" i="2"/>
  <c r="L38" i="2"/>
  <c r="J14" i="1"/>
  <c r="J41" i="2"/>
  <c r="L41" i="2" s="1"/>
  <c r="K41" i="2"/>
  <c r="J29" i="2"/>
  <c r="L29" i="2"/>
  <c r="J12" i="3"/>
  <c r="L12" i="3"/>
  <c r="J45" i="2"/>
  <c r="L45" i="2"/>
  <c r="K31" i="2"/>
  <c r="K13" i="2"/>
  <c r="K12" i="2"/>
  <c r="K13" i="3"/>
  <c r="Q49" i="2" l="1"/>
  <c r="Q50" i="2" s="1"/>
  <c r="Q51" i="2" s="1"/>
  <c r="J28" i="1"/>
  <c r="L28" i="1" s="1"/>
  <c r="K28" i="1"/>
  <c r="R33" i="1"/>
  <c r="R34" i="1" s="1"/>
  <c r="R35" i="1" s="1"/>
  <c r="K16" i="2"/>
  <c r="J16" i="2"/>
  <c r="L16" i="2" s="1"/>
  <c r="K12" i="1"/>
  <c r="K35" i="1" s="1"/>
  <c r="L12" i="1"/>
  <c r="L35" i="1" s="1"/>
  <c r="J33" i="2"/>
  <c r="L33" i="2" s="1"/>
  <c r="K33" i="2"/>
  <c r="K19" i="2"/>
  <c r="J19" i="2"/>
  <c r="L19" i="2" s="1"/>
  <c r="K19" i="3"/>
  <c r="J19" i="3"/>
  <c r="L19" i="3" s="1"/>
  <c r="J25" i="2"/>
  <c r="L25" i="2" s="1"/>
  <c r="K27" i="2"/>
  <c r="K14" i="1"/>
  <c r="K20" i="3"/>
  <c r="K34" i="3" s="1"/>
  <c r="K44" i="2"/>
  <c r="K20" i="1"/>
  <c r="J20" i="1"/>
  <c r="L20" i="1" s="1"/>
  <c r="P12" i="1"/>
  <c r="J40" i="2"/>
  <c r="L40" i="2" s="1"/>
  <c r="K40" i="2"/>
  <c r="J39" i="2"/>
  <c r="L39" i="2" s="1"/>
  <c r="K39" i="2"/>
  <c r="J17" i="2"/>
  <c r="L17" i="2" s="1"/>
  <c r="K17" i="2"/>
  <c r="J11" i="3"/>
  <c r="L11" i="3" s="1"/>
  <c r="L34" i="3" s="1"/>
  <c r="R49" i="2"/>
  <c r="R50" i="2" s="1"/>
  <c r="R51" i="2" s="1"/>
  <c r="K21" i="1"/>
  <c r="J21" i="1"/>
  <c r="L21" i="1" s="1"/>
  <c r="J34" i="2"/>
  <c r="L34" i="2" s="1"/>
  <c r="K34" i="2"/>
  <c r="J20" i="2"/>
  <c r="L20" i="2" s="1"/>
  <c r="K20" i="2"/>
  <c r="K23" i="3"/>
  <c r="K19" i="1"/>
  <c r="J19" i="1"/>
  <c r="L19" i="1" s="1"/>
  <c r="Q33" i="1"/>
  <c r="Q34" i="1" s="1"/>
  <c r="Q35" i="1" s="1"/>
  <c r="K36" i="2"/>
  <c r="J36" i="2"/>
  <c r="L36" i="2" s="1"/>
  <c r="K15" i="2"/>
  <c r="J15" i="2"/>
  <c r="L15" i="2" s="1"/>
  <c r="K11" i="2"/>
  <c r="J11" i="2"/>
  <c r="L11" i="2" s="1"/>
  <c r="J21" i="3"/>
  <c r="L21" i="3" s="1"/>
  <c r="Q31" i="3"/>
  <c r="Q33" i="3" s="1"/>
  <c r="P14" i="2"/>
  <c r="P50" i="2" s="1"/>
  <c r="P14" i="1"/>
  <c r="R31" i="3"/>
  <c r="R33" i="3" s="1"/>
  <c r="J42" i="4"/>
  <c r="J48" i="4" s="1"/>
  <c r="J99" i="4" s="1"/>
  <c r="L42" i="4"/>
  <c r="L48" i="4" s="1"/>
  <c r="L99" i="4" s="1"/>
  <c r="P34" i="1"/>
  <c r="K51" i="2" l="1"/>
  <c r="P51" i="2"/>
  <c r="P52" i="2" s="1"/>
  <c r="P35" i="1"/>
  <c r="P34" i="3"/>
  <c r="P35" i="3" s="1"/>
  <c r="P36" i="1"/>
  <c r="L51" i="2"/>
</calcChain>
</file>

<file path=xl/sharedStrings.xml><?xml version="1.0" encoding="utf-8"?>
<sst xmlns="http://schemas.openxmlformats.org/spreadsheetml/2006/main" count="545" uniqueCount="237">
  <si>
    <t>Lp.</t>
  </si>
  <si>
    <t>Numer katalogowy</t>
  </si>
  <si>
    <t>% VAT</t>
  </si>
  <si>
    <t>Wartość brutto (w zł)</t>
  </si>
  <si>
    <t>Wartość netto (zł)</t>
  </si>
  <si>
    <t>Regionalne Centrum Krwiodawstwa i Krwiolecznictwa</t>
  </si>
  <si>
    <t>Wielkość
opakowania</t>
  </si>
  <si>
    <t>Ilość opakowań
 (w szt.)</t>
  </si>
  <si>
    <t>Cena jednostkowa brutto (w zł) za opakowanie</t>
  </si>
  <si>
    <t>RAZEM:</t>
  </si>
  <si>
    <t>001386</t>
  </si>
  <si>
    <t>003624</t>
  </si>
  <si>
    <t>009280</t>
  </si>
  <si>
    <t>1x500 ml</t>
  </si>
  <si>
    <t>009821</t>
  </si>
  <si>
    <t>Cena jednostkowa op.netto (w zł)</t>
  </si>
  <si>
    <t>Przedmiot zamówienia/ Nazwa handlowa</t>
  </si>
  <si>
    <t>Liczba badań</t>
  </si>
  <si>
    <t>Cena badania/ szt./ ml netto (w zł)</t>
  </si>
  <si>
    <t>009948</t>
  </si>
  <si>
    <t>zestaw</t>
  </si>
  <si>
    <t>1x12 szt.</t>
  </si>
  <si>
    <t>001135</t>
  </si>
  <si>
    <t>x</t>
  </si>
  <si>
    <t>ul. Kośnego 55</t>
  </si>
  <si>
    <t>110075</t>
  </si>
  <si>
    <t>1x12 szt.
(144 ozn.)</t>
  </si>
  <si>
    <t>60x12 szt.
(720 ozn.)</t>
  </si>
  <si>
    <t>ID-Karty: 
DiaClon ABO/D (DVI+, DVI-) + Reverse Grouping</t>
  </si>
  <si>
    <r>
      <rPr>
        <sz val="9"/>
        <rFont val="TimesNewRomanPSMT"/>
        <charset val="238"/>
      </rPr>
      <t>Wykrywanie antygenu D w teście bezpośredniej aglutynacji u dawców RhD pierwszorazowych ujemnych - 1100/ rok</t>
    </r>
    <r>
      <rPr>
        <b/>
        <sz val="9"/>
        <rFont val="TimesNewRomanPSMT"/>
        <charset val="238"/>
      </rPr>
      <t xml:space="preserve">
ID-DiaClon Anti-D</t>
    </r>
  </si>
  <si>
    <t>007531</t>
  </si>
  <si>
    <t>1x5 ml
(100 ozn./ syst. man.)</t>
  </si>
  <si>
    <t>24x12 szt.
(1 728 poj. mikrokol.)</t>
  </si>
  <si>
    <r>
      <t xml:space="preserve">Screening przeciwciał (panel III-krwinkowy PTA LISS) - 150/ rok
</t>
    </r>
    <r>
      <rPr>
        <b/>
        <sz val="9"/>
        <rFont val="TimesNewRomanPSMT"/>
        <charset val="238"/>
      </rPr>
      <t>LISS/Coombs</t>
    </r>
  </si>
  <si>
    <r>
      <t xml:space="preserve">BTA u dawców - 20/ rok
</t>
    </r>
    <r>
      <rPr>
        <b/>
        <sz val="9"/>
        <rFont val="TimesNewRomanPSMT"/>
        <charset val="238"/>
      </rPr>
      <t>LISS/Coombs</t>
    </r>
  </si>
  <si>
    <t>004017</t>
  </si>
  <si>
    <t>110076</t>
  </si>
  <si>
    <t>1x12 szt.
(288 ozn.)</t>
  </si>
  <si>
    <t>110082</t>
  </si>
  <si>
    <t>1x12 szt.
(192 ozn.)</t>
  </si>
  <si>
    <t>1x12 szt.
(72 ozn.)</t>
  </si>
  <si>
    <t>ID-Karty:
DiaClon Anti-K</t>
  </si>
  <si>
    <t>002121</t>
  </si>
  <si>
    <t>007251</t>
  </si>
  <si>
    <r>
      <rPr>
        <sz val="9"/>
        <rFont val="TimesNewRomanPSMT"/>
        <charset val="238"/>
      </rPr>
      <t>Oznaczanie fenotypów w pozostałych układach antygenowych (Kidd (Jka, Jkb), Duffy (Fya, Fyb), Lewis (Lea, Leb), MNS (M, N, S, s), P1, Lutheran (Lua, Lub), Kell (Kpa, Kpb)) - 5 000/ rok</t>
    </r>
    <r>
      <rPr>
        <b/>
        <sz val="9"/>
        <rFont val="TimesNewRomanPSMT"/>
        <charset val="238"/>
      </rPr>
      <t xml:space="preserve">
ID-Karty:
ID-Antigen Profile I
</t>
    </r>
    <r>
      <rPr>
        <sz val="9"/>
        <rFont val="TimesNewRomanPSMT"/>
        <charset val="238"/>
      </rPr>
      <t>(P</t>
    </r>
    <r>
      <rPr>
        <vertAlign val="subscript"/>
        <sz val="9"/>
        <rFont val="TimesNewRomanPSMT"/>
        <charset val="238"/>
      </rPr>
      <t>1</t>
    </r>
    <r>
      <rPr>
        <sz val="9"/>
        <rFont val="TimesNewRomanPSMT"/>
        <charset val="238"/>
      </rPr>
      <t>, Le</t>
    </r>
    <r>
      <rPr>
        <vertAlign val="superscript"/>
        <sz val="9"/>
        <rFont val="TimesNewRomanPSMT"/>
        <charset val="238"/>
      </rPr>
      <t>a</t>
    </r>
    <r>
      <rPr>
        <sz val="9"/>
        <rFont val="TimesNewRomanPSMT"/>
        <charset val="238"/>
      </rPr>
      <t>, Le</t>
    </r>
    <r>
      <rPr>
        <vertAlign val="superscript"/>
        <sz val="9"/>
        <rFont val="TimesNewRomanPSMT"/>
        <charset val="238"/>
      </rPr>
      <t>b</t>
    </r>
    <r>
      <rPr>
        <sz val="9"/>
        <rFont val="TimesNewRomanPSMT"/>
        <charset val="238"/>
      </rPr>
      <t>, Lu</t>
    </r>
    <r>
      <rPr>
        <vertAlign val="superscript"/>
        <sz val="9"/>
        <rFont val="TimesNewRomanPSMT"/>
        <charset val="238"/>
      </rPr>
      <t>a</t>
    </r>
    <r>
      <rPr>
        <sz val="9"/>
        <rFont val="TimesNewRomanPSMT"/>
        <charset val="238"/>
      </rPr>
      <t>, Lu</t>
    </r>
    <r>
      <rPr>
        <vertAlign val="superscript"/>
        <sz val="9"/>
        <rFont val="TimesNewRomanPSMT"/>
        <charset val="238"/>
      </rPr>
      <t>b</t>
    </r>
    <r>
      <rPr>
        <sz val="9"/>
        <rFont val="TimesNewRomanPSMT"/>
        <charset val="238"/>
      </rPr>
      <t>, ctl)</t>
    </r>
  </si>
  <si>
    <r>
      <t xml:space="preserve">ID-Karty:
ID-Antigen Profile II
</t>
    </r>
    <r>
      <rPr>
        <sz val="9"/>
        <rFont val="TimesNewRomanPSMT"/>
        <charset val="238"/>
      </rPr>
      <t>(k, Kp</t>
    </r>
    <r>
      <rPr>
        <vertAlign val="superscript"/>
        <sz val="9"/>
        <rFont val="TimesNewRomanPSMT"/>
        <charset val="238"/>
      </rPr>
      <t>a</t>
    </r>
    <r>
      <rPr>
        <sz val="9"/>
        <rFont val="TimesNewRomanPSMT"/>
        <charset val="238"/>
      </rPr>
      <t>, Kp</t>
    </r>
    <r>
      <rPr>
        <vertAlign val="superscript"/>
        <sz val="9"/>
        <rFont val="TimesNewRomanPSMT"/>
        <charset val="238"/>
      </rPr>
      <t>b</t>
    </r>
    <r>
      <rPr>
        <sz val="9"/>
        <rFont val="TimesNewRomanPSMT"/>
        <charset val="238"/>
      </rPr>
      <t>, Jk</t>
    </r>
    <r>
      <rPr>
        <vertAlign val="superscript"/>
        <sz val="9"/>
        <rFont val="TimesNewRomanPSMT"/>
        <charset val="238"/>
      </rPr>
      <t>a</t>
    </r>
    <r>
      <rPr>
        <sz val="9"/>
        <rFont val="TimesNewRomanPSMT"/>
        <charset val="238"/>
      </rPr>
      <t>, Jk</t>
    </r>
    <r>
      <rPr>
        <vertAlign val="superscript"/>
        <sz val="9"/>
        <rFont val="TimesNewRomanPSMT"/>
        <charset val="238"/>
      </rPr>
      <t>b</t>
    </r>
    <r>
      <rPr>
        <sz val="9"/>
        <rFont val="TimesNewRomanPSMT"/>
        <charset val="238"/>
      </rPr>
      <t>, ctl)</t>
    </r>
  </si>
  <si>
    <r>
      <t xml:space="preserve">ID-Karty:
ID-Antigen Profile III
</t>
    </r>
    <r>
      <rPr>
        <sz val="9"/>
        <rFont val="TimesNewRomanPSMT"/>
        <charset val="238"/>
      </rPr>
      <t>(M, N, S, s, Fy</t>
    </r>
    <r>
      <rPr>
        <vertAlign val="superscript"/>
        <sz val="9"/>
        <rFont val="TimesNewRomanPSMT"/>
        <charset val="238"/>
      </rPr>
      <t>a</t>
    </r>
    <r>
      <rPr>
        <sz val="9"/>
        <rFont val="TimesNewRomanPSMT"/>
        <charset val="238"/>
      </rPr>
      <t>, Fy</t>
    </r>
    <r>
      <rPr>
        <vertAlign val="superscript"/>
        <sz val="9"/>
        <rFont val="TimesNewRomanPSMT"/>
        <charset val="238"/>
      </rPr>
      <t>b</t>
    </r>
    <r>
      <rPr>
        <sz val="9"/>
        <rFont val="TimesNewRomanPSMT"/>
        <charset val="238"/>
      </rPr>
      <t>)</t>
    </r>
  </si>
  <si>
    <t>Test serum for ID-Antigen Profile III</t>
  </si>
  <si>
    <r>
      <rPr>
        <sz val="9"/>
        <rFont val="TimesNewRomanPSMT"/>
        <charset val="238"/>
      </rPr>
      <t>Codzienna kontrola zestawu wzorcowego - 300/ rok</t>
    </r>
    <r>
      <rPr>
        <b/>
        <sz val="9"/>
        <rFont val="TimesNewRomanPSMT"/>
        <charset val="238"/>
      </rPr>
      <t xml:space="preserve">
DiaMed Basic Q.C.</t>
    </r>
  </si>
  <si>
    <r>
      <t xml:space="preserve">Bromelina
</t>
    </r>
    <r>
      <rPr>
        <b/>
        <sz val="9"/>
        <rFont val="TimesNewRomanPSMT"/>
        <charset val="238"/>
      </rPr>
      <t>ID-Diluent 1</t>
    </r>
  </si>
  <si>
    <r>
      <t xml:space="preserve">Odczynnik LISS
</t>
    </r>
    <r>
      <rPr>
        <b/>
        <sz val="9"/>
        <rFont val="TimesNewRomanPSMT"/>
        <charset val="238"/>
      </rPr>
      <t>ID-Diluent 2</t>
    </r>
  </si>
  <si>
    <r>
      <t xml:space="preserve">Płyn myjący do analizatora
</t>
    </r>
    <r>
      <rPr>
        <b/>
        <sz val="9"/>
        <rFont val="TimesNewRomanPSMT"/>
        <charset val="238"/>
      </rPr>
      <t>Wash solution A</t>
    </r>
  </si>
  <si>
    <r>
      <t xml:space="preserve">Płyn płuczący do analizatora
</t>
    </r>
    <r>
      <rPr>
        <b/>
        <sz val="9"/>
        <rFont val="TimesNewRomanPSMT"/>
        <charset val="238"/>
      </rPr>
      <t>Wash solution B</t>
    </r>
  </si>
  <si>
    <r>
      <t xml:space="preserve">Magnesy do krwinek wzorc.
</t>
    </r>
    <r>
      <rPr>
        <b/>
        <sz val="9"/>
        <rFont val="TimesNewRomanPSMT"/>
        <charset val="238"/>
      </rPr>
      <t>Magnet dispenser</t>
    </r>
  </si>
  <si>
    <r>
      <t xml:space="preserve">Płyn do odkażania analizatora
</t>
    </r>
    <r>
      <rPr>
        <b/>
        <sz val="9"/>
        <rFont val="TimesNewRomanPSMT"/>
        <charset val="238"/>
      </rPr>
      <t>Microcide SQ</t>
    </r>
  </si>
  <si>
    <t>009180</t>
  </si>
  <si>
    <t>009822</t>
  </si>
  <si>
    <t>009893</t>
  </si>
  <si>
    <r>
      <rPr>
        <sz val="9"/>
        <rFont val="TimesNewRomanPSMT"/>
        <charset val="238"/>
      </rPr>
      <t>Krwinki wzorcowe:</t>
    </r>
    <r>
      <rPr>
        <b/>
        <sz val="9"/>
        <rFont val="TimesNewRomanPSMT"/>
        <charset val="238"/>
      </rPr>
      <t xml:space="preserve">
DiaCell-MP ABO (A1-B)</t>
    </r>
  </si>
  <si>
    <t>109897</t>
  </si>
  <si>
    <r>
      <rPr>
        <sz val="9"/>
        <rFont val="TimesNewRomanPSMT"/>
        <charset val="238"/>
      </rPr>
      <t>Krwinki wzorcowe:</t>
    </r>
    <r>
      <rPr>
        <b/>
        <sz val="9"/>
        <rFont val="TimesNewRomanPSMT"/>
        <charset val="238"/>
      </rPr>
      <t xml:space="preserve">
ID-DiaCell ABO (A1-B)</t>
    </r>
  </si>
  <si>
    <r>
      <t xml:space="preserve">Screening przeciwciał (krwinki pulowane PTA LISS) - 5100/ rok
</t>
    </r>
    <r>
      <rPr>
        <b/>
        <sz val="9"/>
        <rFont val="TimesNewRomanPSMT"/>
        <charset val="238"/>
      </rPr>
      <t>ID-DiaCell Pool</t>
    </r>
    <r>
      <rPr>
        <sz val="9"/>
        <rFont val="TimesNewRomanPSMT"/>
        <charset val="238"/>
      </rPr>
      <t xml:space="preserve">
</t>
    </r>
    <r>
      <rPr>
        <b/>
        <sz val="9"/>
        <rFont val="TimesNewRomanPSMT"/>
        <charset val="238"/>
      </rPr>
      <t>LISS/Coombs</t>
    </r>
  </si>
  <si>
    <r>
      <rPr>
        <sz val="9"/>
        <rFont val="TimesNewRomanPSMT"/>
        <charset val="238"/>
      </rPr>
      <t>Oznaczanie antygenu k u dawców K dodatnich - 1 500/ rok</t>
    </r>
    <r>
      <rPr>
        <b/>
        <sz val="9"/>
        <rFont val="TimesNewRomanPSMT"/>
        <charset val="238"/>
      </rPr>
      <t xml:space="preserve">
ID-Karty:
Anti-k</t>
    </r>
  </si>
  <si>
    <r>
      <rPr>
        <sz val="9"/>
        <rFont val="TimesNewRomanPSMT"/>
        <charset val="238"/>
      </rPr>
      <t>1) Oznaczanie grup krwi ABO u dawców pierwszorazowych (zestaw: 2 pełne oznaczenia w obydwu próbkach - ABO + rewers) - 5000/ rok
2) Oznaczanie RhD u dawców  pierwszorazowych (zestaw: 2 rodzaje odczynników (DVI+ i RDVI-) w obydwu próbkach - 5000/ rok</t>
    </r>
    <r>
      <rPr>
        <b/>
        <sz val="9"/>
        <rFont val="TimesNewRomanPSMT"/>
        <charset val="238"/>
      </rPr>
      <t xml:space="preserve">
</t>
    </r>
    <r>
      <rPr>
        <b/>
        <sz val="9"/>
        <color indexed="53"/>
        <rFont val="TimesNewRomanPSMT"/>
        <charset val="238"/>
      </rPr>
      <t xml:space="preserve">
MP (mikropłytki): </t>
    </r>
    <r>
      <rPr>
        <b/>
        <sz val="9"/>
        <rFont val="TimesNewRomanPSMT"/>
        <charset val="238"/>
      </rPr>
      <t xml:space="preserve">
DiaMed-MP Test A, B, AB, DVI-, DVI+, ctl/A1, B</t>
    </r>
  </si>
  <si>
    <r>
      <t xml:space="preserve">1) Kontrola serologiczna krwi pobranej KPK - 30 000/ rok
2) Kontrola serologiczna krwi pobranej (UKKP Af+FFP Af) - 200/ rok
</t>
    </r>
    <r>
      <rPr>
        <sz val="9"/>
        <color indexed="53"/>
        <rFont val="TimesNewRomanPSMT"/>
        <charset val="238"/>
      </rPr>
      <t xml:space="preserve">
</t>
    </r>
    <r>
      <rPr>
        <b/>
        <sz val="9"/>
        <color indexed="53"/>
        <rFont val="TimesNewRomanPSMT"/>
        <charset val="238"/>
      </rPr>
      <t xml:space="preserve">MP (mikropłytki): </t>
    </r>
    <r>
      <rPr>
        <b/>
        <sz val="9"/>
        <rFont val="TimesNewRomanPSMT"/>
        <charset val="238"/>
      </rPr>
      <t xml:space="preserve">
DiaMed-MP Test A, B, DVI+, ctl/A, B, DVI+, ctl</t>
    </r>
  </si>
  <si>
    <r>
      <t xml:space="preserve">1) Oznaczanie fenotypów w zakresie antygenów C, Cw, c, E, e z układu Rh - 11 000/ rok
2) Oznaczanie antygenu K z układu Kell: K - 15 000/rok
</t>
    </r>
    <r>
      <rPr>
        <b/>
        <sz val="9"/>
        <color indexed="53"/>
        <rFont val="TimesNewRomanPSMT"/>
        <charset val="238"/>
      </rPr>
      <t xml:space="preserve">MP (mikropłytki): </t>
    </r>
    <r>
      <rPr>
        <b/>
        <sz val="9"/>
        <rFont val="TimesNewRomanPSMT"/>
        <charset val="238"/>
      </rPr>
      <t xml:space="preserve">
DiaMed-MP Test C, c, E, e, K, ctl/ C, c, E, e, K, ctl</t>
    </r>
  </si>
  <si>
    <t>90071</t>
  </si>
  <si>
    <t>1x250 ml</t>
  </si>
  <si>
    <t>1x100 szt.</t>
  </si>
  <si>
    <t>1x10 L</t>
  </si>
  <si>
    <t>1x12 szt.
(12 ozn.)</t>
  </si>
  <si>
    <t>008701</t>
  </si>
  <si>
    <t>008712</t>
  </si>
  <si>
    <t>008610</t>
  </si>
  <si>
    <t>008510</t>
  </si>
  <si>
    <t>6x5 ml
(90 ozn.)</t>
  </si>
  <si>
    <t>2x10 ml
(200 ozn./ syst. man.)</t>
  </si>
  <si>
    <t>3x10 ml
(600 ozn./ syst. man.)</t>
  </si>
  <si>
    <t>Dil1</t>
  </si>
  <si>
    <t>Dil2</t>
  </si>
  <si>
    <t>m-c</t>
  </si>
  <si>
    <t>UWAGA!</t>
  </si>
  <si>
    <t>wash A</t>
  </si>
  <si>
    <t>003631</t>
  </si>
  <si>
    <t>euro</t>
  </si>
  <si>
    <t>kurs</t>
  </si>
  <si>
    <t>kat PLN</t>
  </si>
  <si>
    <t>wartość PLN</t>
  </si>
  <si>
    <t>odpowiednio do liczby badań</t>
  </si>
  <si>
    <r>
      <t xml:space="preserve">Dzierżawa automatycznego fabrycznie nowego (2013) analizatora </t>
    </r>
    <r>
      <rPr>
        <b/>
        <sz val="9"/>
        <rFont val="TimesNewRomanPSMT"/>
        <charset val="238"/>
      </rPr>
      <t>Techno TwinStation</t>
    </r>
    <r>
      <rPr>
        <sz val="9"/>
        <rFont val="TimesNewRomanPSMT"/>
        <charset val="238"/>
      </rPr>
      <t xml:space="preserve"> oraz wirówko-czytnika mikropłytek </t>
    </r>
    <r>
      <rPr>
        <b/>
        <sz val="9"/>
        <rFont val="TimesNewRomanPSMT"/>
        <charset val="238"/>
      </rPr>
      <t>Lyra-MP Reader</t>
    </r>
    <r>
      <rPr>
        <sz val="9"/>
        <rFont val="TimesNewRomanPSMT"/>
        <charset val="238"/>
      </rPr>
      <t xml:space="preserve"> wraz z analizatorem back-up </t>
    </r>
    <r>
      <rPr>
        <b/>
        <sz val="9"/>
        <rFont val="TimesNewRomanPSMT"/>
        <charset val="238"/>
      </rPr>
      <t>IH-500</t>
    </r>
    <r>
      <rPr>
        <sz val="9"/>
        <rFont val="TimesNewRomanPSMT"/>
        <charset val="238"/>
      </rPr>
      <t xml:space="preserve"> (dostępność 2-ga połowa bieżącego roku). Analizatory dostarczane wraz z oprogramowaniem z menu w języku polskim oraz niezbędnym oprzyrządowaniem.</t>
    </r>
  </si>
  <si>
    <t>Odczynniki i materiały zużywalne do badań w immunologii transfuzjologicznej 
metodą mikrokolumnową żelową ID-System oraz metodą mikropłytkową wraz z dzierżawą analizatorów:</t>
  </si>
  <si>
    <t>46-020 Opole</t>
  </si>
  <si>
    <t>OFERTA</t>
  </si>
  <si>
    <t>odpowiednio do liczby badań z poz. 2, 3, 4 i 5
(6 912 poj. mikrokol.)</t>
  </si>
  <si>
    <t>czynsz dzierżawny</t>
  </si>
  <si>
    <t>połowa ozn. nastawiana z grupą na MP</t>
  </si>
  <si>
    <t>nastawiany z grupa ID</t>
  </si>
  <si>
    <r>
      <t>DiaClon Anti-Jk</t>
    </r>
    <r>
      <rPr>
        <vertAlign val="superscript"/>
        <sz val="10"/>
        <rFont val="Arial"/>
        <family val="2"/>
        <charset val="238"/>
      </rPr>
      <t>a</t>
    </r>
  </si>
  <si>
    <r>
      <t>DiaClon Anti-Jk</t>
    </r>
    <r>
      <rPr>
        <vertAlign val="superscript"/>
        <sz val="10"/>
        <rFont val="Arial"/>
        <family val="2"/>
        <charset val="238"/>
      </rPr>
      <t>b</t>
    </r>
  </si>
  <si>
    <r>
      <t>DiaClon Anti-Le</t>
    </r>
    <r>
      <rPr>
        <vertAlign val="superscript"/>
        <sz val="10"/>
        <rFont val="Arial"/>
        <family val="2"/>
        <charset val="238"/>
      </rPr>
      <t>a</t>
    </r>
  </si>
  <si>
    <r>
      <t>DiaClon Anti-Le</t>
    </r>
    <r>
      <rPr>
        <vertAlign val="superscript"/>
        <sz val="10"/>
        <rFont val="Arial"/>
        <family val="2"/>
        <charset val="238"/>
      </rPr>
      <t>b</t>
    </r>
  </si>
  <si>
    <t>DiaClon Anti-M</t>
  </si>
  <si>
    <t>DiaClon Anti-N</t>
  </si>
  <si>
    <r>
      <t>Anti-Lu</t>
    </r>
    <r>
      <rPr>
        <vertAlign val="superscript"/>
        <sz val="9"/>
        <rFont val="TimesNewRomanPSMT"/>
        <charset val="238"/>
      </rPr>
      <t>a</t>
    </r>
  </si>
  <si>
    <r>
      <t>Anti-Lu</t>
    </r>
    <r>
      <rPr>
        <vertAlign val="superscript"/>
        <sz val="9"/>
        <rFont val="TimesNewRomanPSMT"/>
        <charset val="238"/>
      </rPr>
      <t>b</t>
    </r>
  </si>
  <si>
    <r>
      <t>Anti-Kp</t>
    </r>
    <r>
      <rPr>
        <vertAlign val="superscript"/>
        <sz val="9"/>
        <rFont val="TimesNewRomanPSMT"/>
        <charset val="238"/>
      </rPr>
      <t>a</t>
    </r>
  </si>
  <si>
    <r>
      <t>Anti-Kp</t>
    </r>
    <r>
      <rPr>
        <vertAlign val="superscript"/>
        <sz val="9"/>
        <rFont val="TimesNewRomanPSMT"/>
        <charset val="238"/>
      </rPr>
      <t>b</t>
    </r>
  </si>
  <si>
    <r>
      <t>ID-Card Fy</t>
    </r>
    <r>
      <rPr>
        <vertAlign val="superscript"/>
        <sz val="10"/>
        <rFont val="Arial"/>
        <family val="2"/>
        <charset val="238"/>
      </rPr>
      <t>a</t>
    </r>
  </si>
  <si>
    <r>
      <t>ID-Card Fy</t>
    </r>
    <r>
      <rPr>
        <vertAlign val="superscript"/>
        <sz val="10"/>
        <rFont val="Arial"/>
        <family val="2"/>
        <charset val="238"/>
      </rPr>
      <t>b</t>
    </r>
  </si>
  <si>
    <r>
      <t>Test serum ID-Anti-Fy</t>
    </r>
    <r>
      <rPr>
        <vertAlign val="superscript"/>
        <sz val="10"/>
        <rFont val="Arial"/>
        <family val="2"/>
        <charset val="238"/>
      </rPr>
      <t>a</t>
    </r>
  </si>
  <si>
    <r>
      <t>Test serum ID-Anti-Fy</t>
    </r>
    <r>
      <rPr>
        <vertAlign val="superscript"/>
        <sz val="10"/>
        <rFont val="Arial"/>
        <family val="2"/>
        <charset val="238"/>
      </rPr>
      <t>b</t>
    </r>
  </si>
  <si>
    <t>ID-Card S</t>
  </si>
  <si>
    <t>ID-Card s</t>
  </si>
  <si>
    <t>Test serum ID-Anti-S</t>
  </si>
  <si>
    <t>Test serum ID-Anti-s</t>
  </si>
  <si>
    <t>007011</t>
  </si>
  <si>
    <t>007111</t>
  </si>
  <si>
    <t>007212</t>
  </si>
  <si>
    <r>
      <t>DiaClon Anti-P</t>
    </r>
    <r>
      <rPr>
        <vertAlign val="subscript"/>
        <sz val="9"/>
        <rFont val="TimesNewRomanPSMT"/>
        <charset val="238"/>
      </rPr>
      <t>1</t>
    </r>
  </si>
  <si>
    <t>007221</t>
  </si>
  <si>
    <t>007231</t>
  </si>
  <si>
    <t>007321</t>
  </si>
  <si>
    <t>007331</t>
  </si>
  <si>
    <t>007301</t>
  </si>
  <si>
    <t>007311</t>
  </si>
  <si>
    <t>007351</t>
  </si>
  <si>
    <t>007361</t>
  </si>
  <si>
    <t>007270</t>
  </si>
  <si>
    <t>007280</t>
  </si>
  <si>
    <t>007130</t>
  </si>
  <si>
    <t>007132</t>
  </si>
  <si>
    <t>007140</t>
  </si>
  <si>
    <t>007142</t>
  </si>
  <si>
    <t>007272</t>
  </si>
  <si>
    <t>007282</t>
  </si>
  <si>
    <r>
      <rPr>
        <sz val="9"/>
        <rFont val="TimesNewRomanPSMT"/>
        <charset val="238"/>
      </rPr>
      <t>Oznaczanie fenotypów w pozostałych układach antygenowych (Kidd (Jka, Jkb), Duffy (Fya, Fyb), Lewis (Lea, Leb), MNS (M, N, S, s), P1, Lutheran (Lua, Lub), Kell (Kpa, Kpb)) - 5 000/ rok</t>
    </r>
    <r>
      <rPr>
        <b/>
        <sz val="9"/>
        <rFont val="TimesNewRomanPSMT"/>
        <charset val="238"/>
      </rPr>
      <t xml:space="preserve">
ID-Karty:</t>
    </r>
  </si>
  <si>
    <t>I</t>
  </si>
  <si>
    <t>112x12 szt.
(2 688 ozn.)</t>
  </si>
  <si>
    <t>112x12 szt.
(1 344 ozn.)</t>
  </si>
  <si>
    <t>002015</t>
  </si>
  <si>
    <t>Odczynniki i materiały zużywalne do badań w immunologii transfuzjologicznej 
metodą mikrokolumnową żelową ID-System wraz z dzierżawą analizatora IH-1000:</t>
  </si>
  <si>
    <r>
      <rPr>
        <sz val="9"/>
        <rFont val="TimesNewRomanPSMT"/>
        <charset val="238"/>
      </rPr>
      <t>1) Oznaczanie grup krwi ABO u dawców pierwszorazowych (zestaw: 2 pełne oznaczenia w obydwu próbkach - ABO + rewers) - 5000/ rok
2) Oznaczanie RhD u dawców  pierwszorazowych (zestaw: 2 rodzaje odczynników (DVI+ i RDVI-) w obydwu próbkach - 5000/ rok</t>
    </r>
    <r>
      <rPr>
        <b/>
        <sz val="9"/>
        <rFont val="TimesNewRomanPSMT"/>
        <charset val="238"/>
      </rPr>
      <t xml:space="preserve">
</t>
    </r>
    <r>
      <rPr>
        <b/>
        <sz val="9"/>
        <rFont val="TimesNewRomanPSMT"/>
        <charset val="238"/>
      </rPr>
      <t xml:space="preserve">
DiaClon ABO/D (DVI+, DVI-) + Reverse Grouping</t>
    </r>
  </si>
  <si>
    <r>
      <t xml:space="preserve">1) Kontrola serologiczna krwi pobranej KPK - 30 000/ rok
2) Kontrola serologiczna krwi pobranej (UKKP Af+FFP Af) - 200/ rok
</t>
    </r>
    <r>
      <rPr>
        <sz val="9"/>
        <color indexed="53"/>
        <rFont val="TimesNewRomanPSMT"/>
        <charset val="238"/>
      </rPr>
      <t xml:space="preserve">
</t>
    </r>
    <r>
      <rPr>
        <b/>
        <sz val="9"/>
        <rFont val="TimesNewRomanPSMT"/>
        <charset val="238"/>
      </rPr>
      <t>DiaClon ABD-Confirmation for Donors</t>
    </r>
  </si>
  <si>
    <r>
      <t xml:space="preserve">1) Oznaczanie fenotypów w zakresie antygenów C, Cw, c, E, e z układu Rh - 11 000/ rok
2) Oznaczanie antygenu K z układu Kell: K - 15 000/rok
</t>
    </r>
    <r>
      <rPr>
        <b/>
        <sz val="9"/>
        <rFont val="TimesNewRomanPSMT"/>
        <charset val="238"/>
      </rPr>
      <t>Rh-Subgroups + Cw + K</t>
    </r>
  </si>
  <si>
    <t>DiaClon Anti-K</t>
  </si>
  <si>
    <r>
      <rPr>
        <sz val="9"/>
        <rFont val="TimesNewRomanPSMT"/>
        <charset val="238"/>
      </rPr>
      <t>Oznaczanie antygenu k u dawców K dodatnich - 1 500/ rok</t>
    </r>
    <r>
      <rPr>
        <b/>
        <sz val="9"/>
        <rFont val="TimesNewRomanPSMT"/>
        <charset val="238"/>
      </rPr>
      <t xml:space="preserve">
Anti-k</t>
    </r>
  </si>
  <si>
    <t>009190</t>
  </si>
  <si>
    <t>009290</t>
  </si>
  <si>
    <t>10x60 szt.</t>
  </si>
  <si>
    <r>
      <t xml:space="preserve">Płyn myjący do analizatora
</t>
    </r>
    <r>
      <rPr>
        <b/>
        <sz val="9"/>
        <rFont val="TimesNewRomanPSMT"/>
        <charset val="238"/>
      </rPr>
      <t>Decon 90</t>
    </r>
  </si>
  <si>
    <r>
      <t xml:space="preserve">Płyn używany z Bromeliną
</t>
    </r>
    <r>
      <rPr>
        <b/>
        <sz val="9"/>
        <rFont val="TimesNewRomanPSMT"/>
        <charset val="238"/>
      </rPr>
      <t>Setup Clean</t>
    </r>
  </si>
  <si>
    <r>
      <t xml:space="preserve">Butelki
</t>
    </r>
    <r>
      <rPr>
        <b/>
        <sz val="9"/>
        <rFont val="TimesNewRomanPSMT"/>
        <charset val="238"/>
      </rPr>
      <t>Bottles for Setup Clean</t>
    </r>
  </si>
  <si>
    <r>
      <t xml:space="preserve">Pianka do odpadów
</t>
    </r>
    <r>
      <rPr>
        <b/>
        <sz val="9"/>
        <rFont val="TimesNewRomanPSMT"/>
        <charset val="238"/>
      </rPr>
      <t>Silicone Antifoam</t>
    </r>
  </si>
  <si>
    <t>91766</t>
  </si>
  <si>
    <t>1x5 L</t>
  </si>
  <si>
    <t>009902</t>
  </si>
  <si>
    <t>009310</t>
  </si>
  <si>
    <t>Z00027</t>
  </si>
  <si>
    <t>1x1 L</t>
  </si>
  <si>
    <t>Ofertę przygotowała: Anna Rusin-Sondel</t>
  </si>
  <si>
    <t>Ofertę zatwierdził: Wiktor Fedczyszyn</t>
  </si>
  <si>
    <r>
      <t xml:space="preserve">Dzierżawa automatycznego fabrycznie nowego analizatora </t>
    </r>
    <r>
      <rPr>
        <b/>
        <sz val="9"/>
        <rFont val="TimesNewRomanPSMT"/>
        <charset val="238"/>
      </rPr>
      <t>IH-1000</t>
    </r>
    <r>
      <rPr>
        <sz val="9"/>
        <rFont val="TimesNewRomanPSMT"/>
        <charset val="238"/>
      </rPr>
      <t xml:space="preserve"> wraz z oprogramowaniem z menu w języku polskim oraz niezbędnym oprzyrządowaniem.
</t>
    </r>
    <r>
      <rPr>
        <b/>
        <sz val="9"/>
        <rFont val="TimesNewRomanPSMT"/>
        <charset val="238"/>
      </rPr>
      <t>Czynsz zawiera koszt podłączenia do systemu informatycznego Zamawiającego.</t>
    </r>
  </si>
  <si>
    <r>
      <t xml:space="preserve">Dzierżawa automatycznego fabrycznie nowego (2013) analizatora </t>
    </r>
    <r>
      <rPr>
        <b/>
        <sz val="9"/>
        <rFont val="TimesNewRomanPSMT"/>
        <charset val="238"/>
      </rPr>
      <t>Techno TwinStation</t>
    </r>
    <r>
      <rPr>
        <sz val="9"/>
        <rFont val="TimesNewRomanPSMT"/>
        <charset val="238"/>
      </rPr>
      <t xml:space="preserve"> oraz wirówko-czytnika mikropłytek </t>
    </r>
    <r>
      <rPr>
        <b/>
        <sz val="9"/>
        <rFont val="TimesNewRomanPSMT"/>
        <charset val="238"/>
      </rPr>
      <t>Lyra-MP Reader</t>
    </r>
    <r>
      <rPr>
        <sz val="9"/>
        <rFont val="TimesNewRomanPSMT"/>
        <charset val="238"/>
      </rPr>
      <t xml:space="preserve"> wraz z analizatorem back-up </t>
    </r>
    <r>
      <rPr>
        <b/>
        <sz val="9"/>
        <rFont val="TimesNewRomanPSMT"/>
        <charset val="238"/>
      </rPr>
      <t>IH-500</t>
    </r>
    <r>
      <rPr>
        <sz val="9"/>
        <rFont val="TimesNewRomanPSMT"/>
        <charset val="238"/>
      </rPr>
      <t xml:space="preserve"> (dostępność 2-ga połowa bieżącego roku). Analizatory dostarczane wraz z oprogramowaniem z menu w języku polskim oraz niezbędnym oprzyrządowaniem.
</t>
    </r>
    <r>
      <rPr>
        <b/>
        <sz val="9"/>
        <rFont val="TimesNewRomanPSMT"/>
        <charset val="238"/>
      </rPr>
      <t>Czynsz zawiera koszt połączenia analizatorów do systemu informatycznego Zamawiającego.</t>
    </r>
  </si>
  <si>
    <t>Rodzaj odczynnika/badania</t>
  </si>
  <si>
    <t>nazwa</t>
  </si>
  <si>
    <t>cena</t>
  </si>
  <si>
    <t>wartość</t>
  </si>
  <si>
    <t>%</t>
  </si>
  <si>
    <t>Odczynniki monoklonalne przeznaczone do wykonania kontroli serologicznej pobranej krwi, w zakresie antygenów układu ABO i antygenu D z układu Rh</t>
  </si>
  <si>
    <t>Odczynniki monoklonalne do oznaczania antygenów układu ABO (dwie różne serie)</t>
  </si>
  <si>
    <t>Odczynniki monoklonalne anty D: wykrywający i niewykrywający kategorii DVI</t>
  </si>
  <si>
    <t>Krwinki wzorcowe do układu ABO: A1, B</t>
  </si>
  <si>
    <t>Odczynnik antyglobulinowy do wykrywania przeciwciał odpornościowych z krwinkami pulowanymi w PTA</t>
  </si>
  <si>
    <t>Krwinki wzorcowe pulowane do wykrywania przeciwciał odpornościowych</t>
  </si>
  <si>
    <t>Odczynniki do badania fenotypu układu Rh z oznaczeniem antygenu Cw (C, Cw, c, E, e, K)</t>
  </si>
  <si>
    <t>Odczynnik antyglobulinowy poliwalentny do przeprowadzenia bezpośredniego testu antyglobulinowego</t>
  </si>
  <si>
    <t>Odczynniki monoklonalne do oznaczenia antygenu M z układu MNS</t>
  </si>
  <si>
    <t>Odczynniki monoklonalne do oznaczenia antygenu N z układu MNS</t>
  </si>
  <si>
    <t>Odczynniki monoklonalne do oznaczenia antygenu Lea z układu Lewis</t>
  </si>
  <si>
    <t>Odczynniki monoklonalne do oznaczenia antygenu Leb z układu Lewis</t>
  </si>
  <si>
    <t>Odczynniki monoklonalne do oznaczenia antygenu Jka z układu Kidd</t>
  </si>
  <si>
    <t>Odczynniki monoklonalne do oznaczenia antygenu Jkb z układu Kidd</t>
  </si>
  <si>
    <t>Odczynniki monoklonalne do oznaczenia antygenu P1 z układu P</t>
  </si>
  <si>
    <t>Odczynnik monoklonalny do oznaczenia antygenu K z układu Kell</t>
  </si>
  <si>
    <t>Odczynniki do oznaczenia antygenu k (cellano) z układu Kell</t>
  </si>
  <si>
    <t>Odczynniki do oznaczenia antygenu Kpa / Kpb z układu Kell</t>
  </si>
  <si>
    <t>NETTO</t>
  </si>
  <si>
    <t>VAT</t>
  </si>
  <si>
    <t>BRUTTO</t>
  </si>
  <si>
    <t>Ilość badań 
(donacji)</t>
  </si>
  <si>
    <t>Odczynniki do oznaczenia antygenu Lua / Lub z układu Lutheran</t>
  </si>
  <si>
    <t>Odczynniki do oznaczenia antygenu S z układu MNS</t>
  </si>
  <si>
    <t>Odczynniki do oznaczenia antygenu s z układu MNS</t>
  </si>
  <si>
    <t>Odczynniki do oznaczenia antygenu Fya z układu Duffy</t>
  </si>
  <si>
    <t>Odczynniki do oznaczenia antygenu Fyb z układu Duffy</t>
  </si>
  <si>
    <t>Odczynnik monoklonalny anty-D IgG do wykonania oznaczeń antygenu D w PTA</t>
  </si>
  <si>
    <t>Odczynnik antyglobulinowym do przeprowadzenia oznaczenia antygenu D w PTA</t>
  </si>
  <si>
    <t>Odczynniki typu: LISS, bromelia/papaina do wykonywania zawiesin krwinek czerwonych, odpowiednio do rodzaju i ilości wyspecyfikowanych badań.</t>
  </si>
  <si>
    <t>Zestaw do codziennej kontroli jakości badań w niezbędnym zakresie</t>
  </si>
  <si>
    <t>Płyny płuczące, płyny do dezynfekcji i inne niezbędne materiały do wykonania wyspecyfikowanych badań.</t>
  </si>
  <si>
    <t>Artykuły jednorazowego użytku i inne materiały niezbędne do wykonania wyspecyfikowanych badań.</t>
  </si>
  <si>
    <t>SUMA</t>
  </si>
  <si>
    <t>ODCZYNNIKI i MATERIAŁY ZUŻYWALNE (zamówienie opcjonalne- 12 m-cy)</t>
  </si>
  <si>
    <t>jedn. miary</t>
  </si>
  <si>
    <t>ilość</t>
  </si>
  <si>
    <t>miesiąc</t>
  </si>
  <si>
    <t>DZIERŻAWA (zamówienie opcjonalne - 12 miesięcy)</t>
  </si>
  <si>
    <t>Odczynnik LISS</t>
  </si>
  <si>
    <t>Bromelina</t>
  </si>
  <si>
    <t xml:space="preserve">Środek płuczący </t>
  </si>
  <si>
    <t xml:space="preserve">Butelki do środka myjącego </t>
  </si>
  <si>
    <t>Środek myjący</t>
  </si>
  <si>
    <t xml:space="preserve">Środek odkażający </t>
  </si>
  <si>
    <t xml:space="preserve">Silikonowy czynnik przeciwpieniący </t>
  </si>
  <si>
    <t>a)</t>
  </si>
  <si>
    <t>b)</t>
  </si>
  <si>
    <t>c)</t>
  </si>
  <si>
    <t>d)</t>
  </si>
  <si>
    <t>e)</t>
  </si>
  <si>
    <t>Toner do drukarki laserowej</t>
  </si>
  <si>
    <t>Nazwa wyrobu</t>
  </si>
  <si>
    <t>Kod wyrobu</t>
  </si>
  <si>
    <t>Zawartość
opakowania</t>
  </si>
  <si>
    <t>Ilość
opakowań</t>
  </si>
  <si>
    <t>Ilość testów z tych opakowań</t>
  </si>
  <si>
    <t>Cena jednostkowa opakowania</t>
  </si>
  <si>
    <t>Wartość</t>
  </si>
  <si>
    <t>1 komplet aparatury niezbędnej do wykonania badań</t>
  </si>
  <si>
    <t>Środek do neutralizacji odpadów płynnych (jeśli dotyczy)</t>
  </si>
  <si>
    <t>ODCZYNNIKI i MATERIAŁY ZUŻYWALNE (zamówienie podstawowe- 24 m-ce)</t>
  </si>
  <si>
    <t>DZIERŻAWA (zamówienie podstawowe - 24 miesiące)</t>
  </si>
  <si>
    <t xml:space="preserve">Nazwa i adres wykonawcy: </t>
  </si>
  <si>
    <t>……………………………………………………………………………………</t>
  </si>
  <si>
    <t>CENA - ZAMÓWIENIE PODSTAWOWE</t>
  </si>
  <si>
    <t>CENA - ZAMÓWIENIE OPCJONALNE</t>
  </si>
  <si>
    <t>CAŁKOWITA CENA OFERTY</t>
  </si>
  <si>
    <t>cena jedn.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</si>
</sst>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.000"/>
    <numFmt numFmtId="165" formatCode="0.00000"/>
    <numFmt numFmtId="166" formatCode="#,##0.0"/>
  </numFmts>
  <fonts count="22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imesNewRomanPSMT"/>
      <charset val="238"/>
    </font>
    <font>
      <b/>
      <sz val="9"/>
      <name val="TimesNewRomanPSMT"/>
      <charset val="238"/>
    </font>
    <font>
      <vertAlign val="subscript"/>
      <sz val="9"/>
      <name val="TimesNewRomanPSMT"/>
      <charset val="238"/>
    </font>
    <font>
      <vertAlign val="superscript"/>
      <sz val="9"/>
      <name val="TimesNewRomanPSMT"/>
      <charset val="238"/>
    </font>
    <font>
      <b/>
      <sz val="9"/>
      <color indexed="53"/>
      <name val="TimesNewRomanPSMT"/>
      <charset val="238"/>
    </font>
    <font>
      <sz val="9"/>
      <color indexed="53"/>
      <name val="TimesNewRomanPSMT"/>
      <charset val="238"/>
    </font>
    <font>
      <b/>
      <sz val="18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sz val="9"/>
      <color theme="9" tint="-0.249977111117893"/>
      <name val="TimesNewRomanPSMT"/>
      <charset val="238"/>
    </font>
    <font>
      <sz val="10"/>
      <color theme="9" tint="-0.249977111117893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charset val="238"/>
    </font>
    <font>
      <b/>
      <i/>
      <sz val="12"/>
      <color rgb="FF00B050"/>
      <name val="Times New Roman"/>
      <family val="1"/>
      <charset val="238"/>
    </font>
    <font>
      <b/>
      <i/>
      <sz val="12"/>
      <color rgb="FF92D05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9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/>
    <xf numFmtId="4" fontId="0" fillId="0" borderId="0" xfId="0" applyNumberFormat="1"/>
    <xf numFmtId="0" fontId="0" fillId="0" borderId="0" xfId="0" applyFill="1"/>
    <xf numFmtId="0" fontId="2" fillId="0" borderId="0" xfId="0" applyFont="1" applyAlignment="1">
      <alignment horizontal="right"/>
    </xf>
    <xf numFmtId="0" fontId="13" fillId="0" borderId="0" xfId="0" applyFont="1"/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0" xfId="0" applyFill="1" applyBorder="1" applyAlignment="1">
      <alignment wrapText="1"/>
    </xf>
    <xf numFmtId="4" fontId="0" fillId="0" borderId="0" xfId="0" applyNumberFormat="1" applyFill="1" applyBorder="1"/>
    <xf numFmtId="4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3" fontId="0" fillId="0" borderId="0" xfId="0" applyNumberFormat="1" applyFill="1" applyBorder="1"/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vertical="center"/>
    </xf>
    <xf numFmtId="3" fontId="0" fillId="0" borderId="5" xfId="0" applyNumberFormat="1" applyFill="1" applyBorder="1"/>
    <xf numFmtId="3" fontId="2" fillId="0" borderId="5" xfId="0" applyNumberFormat="1" applyFont="1" applyFill="1" applyBorder="1"/>
    <xf numFmtId="3" fontId="5" fillId="0" borderId="5" xfId="0" applyNumberFormat="1" applyFont="1" applyFill="1" applyBorder="1" applyAlignment="1">
      <alignment vertical="center"/>
    </xf>
    <xf numFmtId="0" fontId="3" fillId="0" borderId="0" xfId="0" applyFont="1"/>
    <xf numFmtId="0" fontId="4" fillId="0" borderId="0" xfId="0" applyFont="1" applyFill="1" applyBorder="1" applyAlignment="1">
      <alignment vertic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left" wrapText="1"/>
    </xf>
    <xf numFmtId="164" fontId="0" fillId="0" borderId="0" xfId="0" applyNumberFormat="1"/>
    <xf numFmtId="3" fontId="3" fillId="0" borderId="0" xfId="0" applyNumberFormat="1" applyFont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4" fillId="0" borderId="5" xfId="0" applyNumberFormat="1" applyFont="1" applyFill="1" applyBorder="1" applyAlignment="1">
      <alignment wrapText="1"/>
    </xf>
    <xf numFmtId="3" fontId="15" fillId="0" borderId="5" xfId="0" applyNumberFormat="1" applyFont="1" applyFill="1" applyBorder="1" applyAlignment="1">
      <alignment vertical="center"/>
    </xf>
    <xf numFmtId="3" fontId="16" fillId="0" borderId="5" xfId="0" applyNumberFormat="1" applyFont="1" applyFill="1" applyBorder="1"/>
    <xf numFmtId="166" fontId="4" fillId="3" borderId="1" xfId="0" applyNumberFormat="1" applyFont="1" applyFill="1" applyBorder="1" applyAlignment="1">
      <alignment horizontal="center" vertical="center"/>
    </xf>
    <xf numFmtId="49" fontId="3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3" fontId="5" fillId="3" borderId="3" xfId="0" applyNumberFormat="1" applyFont="1" applyFill="1" applyBorder="1" applyAlignment="1">
      <alignment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left" vertical="center"/>
    </xf>
    <xf numFmtId="3" fontId="0" fillId="3" borderId="1" xfId="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/>
    </xf>
    <xf numFmtId="0" fontId="2" fillId="6" borderId="1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4" fontId="0" fillId="3" borderId="0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4" fontId="0" fillId="0" borderId="0" xfId="0" applyNumberForma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44" fontId="18" fillId="6" borderId="1" xfId="1" applyFont="1" applyFill="1" applyBorder="1" applyAlignment="1">
      <alignment horizontal="left" vertical="center"/>
    </xf>
    <xf numFmtId="44" fontId="18" fillId="8" borderId="1" xfId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top"/>
    </xf>
    <xf numFmtId="0" fontId="2" fillId="6" borderId="4" xfId="0" applyFont="1" applyFill="1" applyBorder="1" applyAlignment="1">
      <alignment horizontal="center" vertical="center"/>
    </xf>
    <xf numFmtId="44" fontId="18" fillId="4" borderId="1" xfId="1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4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wrapText="1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right" vertical="center"/>
    </xf>
    <xf numFmtId="4" fontId="4" fillId="3" borderId="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right" vertical="center"/>
    </xf>
    <xf numFmtId="0" fontId="3" fillId="6" borderId="2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44" fontId="0" fillId="0" borderId="1" xfId="1" applyFont="1" applyBorder="1" applyAlignment="1">
      <alignment horizontal="right" vertical="center"/>
    </xf>
    <xf numFmtId="44" fontId="0" fillId="6" borderId="1" xfId="1" applyFont="1" applyFill="1" applyBorder="1" applyAlignment="1">
      <alignment horizontal="right" vertical="center"/>
    </xf>
    <xf numFmtId="44" fontId="0" fillId="0" borderId="1" xfId="1" applyFont="1" applyBorder="1" applyAlignment="1">
      <alignment vertical="center"/>
    </xf>
    <xf numFmtId="0" fontId="2" fillId="8" borderId="1" xfId="0" applyFont="1" applyFill="1" applyBorder="1" applyAlignment="1">
      <alignment horizontal="center" vertical="top"/>
    </xf>
    <xf numFmtId="44" fontId="3" fillId="4" borderId="1" xfId="1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44" fontId="18" fillId="5" borderId="11" xfId="1" applyFont="1" applyFill="1" applyBorder="1" applyAlignment="1">
      <alignment vertical="center"/>
    </xf>
    <xf numFmtId="44" fontId="18" fillId="8" borderId="11" xfId="1" applyFont="1" applyFill="1" applyBorder="1" applyAlignment="1">
      <alignment horizontal="left" vertical="center"/>
    </xf>
    <xf numFmtId="44" fontId="18" fillId="5" borderId="12" xfId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49"/>
  <sheetViews>
    <sheetView view="pageBreakPreview" topLeftCell="A10" zoomScaleSheetLayoutView="100" workbookViewId="0">
      <selection activeCell="F14" sqref="F14"/>
    </sheetView>
  </sheetViews>
  <sheetFormatPr defaultRowHeight="12.75"/>
  <cols>
    <col min="1" max="1" width="3.85546875" customWidth="1"/>
    <col min="2" max="2" width="9.28515625" style="2" customWidth="1"/>
    <col min="3" max="3" width="36.85546875" customWidth="1"/>
    <col min="4" max="4" width="14" customWidth="1"/>
    <col min="5" max="5" width="9.42578125" customWidth="1"/>
    <col min="6" max="6" width="8.42578125" customWidth="1"/>
    <col min="7" max="7" width="12.5703125" customWidth="1"/>
    <col min="8" max="8" width="12.140625" customWidth="1"/>
    <col min="9" max="9" width="7.140625" customWidth="1"/>
    <col min="10" max="10" width="14.85546875" customWidth="1"/>
    <col min="11" max="11" width="13.85546875" customWidth="1"/>
    <col min="12" max="12" width="13.28515625" customWidth="1"/>
    <col min="13" max="13" width="9.42578125" customWidth="1"/>
    <col min="14" max="14" width="8.7109375" customWidth="1"/>
    <col min="15" max="16" width="13" customWidth="1"/>
    <col min="17" max="17" width="13.28515625" customWidth="1"/>
    <col min="18" max="18" width="12.5703125" customWidth="1"/>
    <col min="19" max="19" width="9" customWidth="1"/>
    <col min="20" max="20" width="7.85546875" customWidth="1"/>
    <col min="21" max="22" width="12.5703125" customWidth="1"/>
    <col min="23" max="23" width="8.28515625" customWidth="1"/>
    <col min="24" max="24" width="10" customWidth="1"/>
  </cols>
  <sheetData>
    <row r="2" spans="1:33">
      <c r="A2" s="134" t="s">
        <v>92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33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5" spans="1:33">
      <c r="F5" s="141" t="s">
        <v>5</v>
      </c>
      <c r="G5" s="141"/>
      <c r="H5" s="141"/>
      <c r="I5" s="141"/>
      <c r="J5" s="141"/>
      <c r="K5" s="141"/>
      <c r="L5" s="141"/>
      <c r="M5" s="7"/>
      <c r="N5" s="7"/>
      <c r="O5" s="7"/>
      <c r="P5" s="7"/>
      <c r="Q5" s="7"/>
      <c r="R5" s="7"/>
    </row>
    <row r="6" spans="1:33">
      <c r="F6" s="141" t="s">
        <v>24</v>
      </c>
      <c r="G6" s="141"/>
      <c r="H6" s="141"/>
      <c r="I6" s="141"/>
      <c r="J6" s="141"/>
      <c r="K6" s="141"/>
      <c r="L6" s="141"/>
      <c r="M6" s="7"/>
      <c r="N6" s="7"/>
      <c r="O6" s="7"/>
      <c r="P6" s="7"/>
      <c r="Q6" s="7"/>
      <c r="R6" s="7"/>
    </row>
    <row r="7" spans="1:33">
      <c r="F7" s="141" t="s">
        <v>91</v>
      </c>
      <c r="G7" s="141"/>
      <c r="H7" s="141"/>
      <c r="I7" s="141"/>
      <c r="J7" s="141"/>
      <c r="K7" s="141"/>
      <c r="L7" s="141"/>
      <c r="M7" s="7"/>
      <c r="N7" s="7"/>
      <c r="O7" s="24"/>
      <c r="P7" s="24"/>
      <c r="Q7" s="24"/>
      <c r="R7" s="24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spans="1:33">
      <c r="F8" s="7"/>
      <c r="G8" s="7"/>
      <c r="H8" s="7"/>
      <c r="I8" s="7"/>
      <c r="J8" s="7"/>
      <c r="K8" s="7"/>
      <c r="L8" s="7"/>
      <c r="M8" s="7"/>
      <c r="N8" s="7"/>
      <c r="O8" s="24"/>
      <c r="P8" s="24"/>
      <c r="Q8" s="24"/>
      <c r="R8" s="24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spans="1:33" ht="39" customHeight="1">
      <c r="A9" s="145" t="s">
        <v>90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52"/>
      <c r="N9" s="52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3" ht="36">
      <c r="A10" s="9" t="s">
        <v>0</v>
      </c>
      <c r="B10" s="10" t="s">
        <v>1</v>
      </c>
      <c r="C10" s="11" t="s">
        <v>16</v>
      </c>
      <c r="D10" s="11" t="s">
        <v>17</v>
      </c>
      <c r="E10" s="11" t="s">
        <v>6</v>
      </c>
      <c r="F10" s="11" t="s">
        <v>7</v>
      </c>
      <c r="G10" s="17" t="s">
        <v>18</v>
      </c>
      <c r="H10" s="12" t="s">
        <v>15</v>
      </c>
      <c r="I10" s="12" t="s">
        <v>2</v>
      </c>
      <c r="J10" s="11" t="s">
        <v>8</v>
      </c>
      <c r="K10" s="12" t="s">
        <v>4</v>
      </c>
      <c r="L10" s="11" t="s">
        <v>3</v>
      </c>
      <c r="M10" s="53" t="s">
        <v>84</v>
      </c>
      <c r="N10" s="53" t="s">
        <v>85</v>
      </c>
      <c r="O10" s="34" t="s">
        <v>86</v>
      </c>
      <c r="P10" s="34" t="s">
        <v>87</v>
      </c>
      <c r="Q10" s="41" t="s">
        <v>78</v>
      </c>
      <c r="R10" s="41" t="s">
        <v>79</v>
      </c>
      <c r="S10" s="21"/>
      <c r="T10" s="21"/>
      <c r="U10" s="21"/>
      <c r="V10" s="26"/>
      <c r="W10" s="21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116.25" customHeight="1">
      <c r="A11" s="135">
        <v>1</v>
      </c>
      <c r="B11" s="10" t="s">
        <v>25</v>
      </c>
      <c r="C11" s="20" t="s">
        <v>63</v>
      </c>
      <c r="D11" s="35">
        <f>F11*144</f>
        <v>5040</v>
      </c>
      <c r="E11" s="11" t="s">
        <v>26</v>
      </c>
      <c r="F11" s="37">
        <v>35</v>
      </c>
      <c r="G11" s="30">
        <v>2.4</v>
      </c>
      <c r="H11" s="13">
        <f>G11*144</f>
        <v>345.59999999999997</v>
      </c>
      <c r="I11" s="18">
        <v>8</v>
      </c>
      <c r="J11" s="14">
        <f t="shared" ref="J11:J34" si="0">H11+ROUND(H11*I11/100,2)</f>
        <v>373.24999999999994</v>
      </c>
      <c r="K11" s="13">
        <f t="shared" ref="K11:K34" si="1">F11*H11</f>
        <v>12095.999999999998</v>
      </c>
      <c r="L11" s="14">
        <f t="shared" ref="L11:L34" si="2">F11*J11</f>
        <v>13063.749999999998</v>
      </c>
      <c r="M11" s="54">
        <v>84</v>
      </c>
      <c r="N11" s="54">
        <v>4.25</v>
      </c>
      <c r="O11" s="19">
        <f>M11*N11</f>
        <v>357</v>
      </c>
      <c r="P11" s="19">
        <f>F11*O11</f>
        <v>12495</v>
      </c>
      <c r="Q11" s="42">
        <f>D11</f>
        <v>5040</v>
      </c>
      <c r="R11" s="42"/>
      <c r="S11" s="27"/>
      <c r="T11" s="22"/>
      <c r="U11" s="22"/>
      <c r="V11" s="22"/>
      <c r="W11" s="22"/>
      <c r="X11" s="25"/>
      <c r="Y11" s="25"/>
      <c r="Z11" s="25"/>
      <c r="AA11" s="25"/>
      <c r="AB11" s="25"/>
      <c r="AC11" s="28"/>
      <c r="AD11" s="22"/>
      <c r="AE11" s="25"/>
      <c r="AF11" s="25"/>
      <c r="AG11" s="25"/>
    </row>
    <row r="12" spans="1:33" ht="39.75" customHeight="1">
      <c r="A12" s="136"/>
      <c r="B12" s="10" t="s">
        <v>59</v>
      </c>
      <c r="C12" s="20" t="s">
        <v>58</v>
      </c>
      <c r="D12" s="35" t="s">
        <v>88</v>
      </c>
      <c r="E12" s="11" t="s">
        <v>76</v>
      </c>
      <c r="F12" s="37">
        <f>(7*3)+(6*2)</f>
        <v>33</v>
      </c>
      <c r="G12" s="30">
        <v>0.47</v>
      </c>
      <c r="H12" s="13">
        <f>G12*200</f>
        <v>94</v>
      </c>
      <c r="I12" s="18">
        <v>8</v>
      </c>
      <c r="J12" s="14">
        <f t="shared" si="0"/>
        <v>101.52</v>
      </c>
      <c r="K12" s="13">
        <f t="shared" si="1"/>
        <v>3102</v>
      </c>
      <c r="L12" s="14">
        <f t="shared" si="2"/>
        <v>3350.16</v>
      </c>
      <c r="M12" s="54">
        <v>23</v>
      </c>
      <c r="N12" s="54">
        <v>4.25</v>
      </c>
      <c r="O12" s="19">
        <f t="shared" ref="O12:O33" si="3">M12*N12</f>
        <v>97.75</v>
      </c>
      <c r="P12" s="19">
        <f t="shared" ref="P12:P33" si="4">F12*O12</f>
        <v>3225.75</v>
      </c>
      <c r="Q12" s="42"/>
      <c r="R12" s="42"/>
      <c r="S12" s="27"/>
      <c r="T12" s="22"/>
      <c r="U12" s="22"/>
      <c r="V12" s="22"/>
      <c r="W12" s="22"/>
      <c r="X12" s="25"/>
      <c r="Y12" s="25"/>
      <c r="Z12" s="25"/>
      <c r="AA12" s="25"/>
      <c r="AB12" s="25"/>
      <c r="AC12" s="28"/>
      <c r="AD12" s="22"/>
      <c r="AE12" s="25"/>
      <c r="AF12" s="25"/>
      <c r="AG12" s="25"/>
    </row>
    <row r="13" spans="1:33" ht="60.75" customHeight="1">
      <c r="A13" s="136"/>
      <c r="B13" s="10" t="s">
        <v>10</v>
      </c>
      <c r="C13" s="20" t="s">
        <v>28</v>
      </c>
      <c r="D13" s="35">
        <f>F13*720</f>
        <v>5040</v>
      </c>
      <c r="E13" s="11" t="s">
        <v>27</v>
      </c>
      <c r="F13" s="37">
        <v>7</v>
      </c>
      <c r="G13" s="30">
        <v>7.6</v>
      </c>
      <c r="H13" s="13">
        <f>G13*720</f>
        <v>5472</v>
      </c>
      <c r="I13" s="18">
        <v>8</v>
      </c>
      <c r="J13" s="14">
        <f t="shared" si="0"/>
        <v>5909.76</v>
      </c>
      <c r="K13" s="13">
        <f t="shared" si="1"/>
        <v>38304</v>
      </c>
      <c r="L13" s="14">
        <f t="shared" si="2"/>
        <v>41368.32</v>
      </c>
      <c r="M13" s="54">
        <v>1477.4</v>
      </c>
      <c r="N13" s="54">
        <v>4.25</v>
      </c>
      <c r="O13" s="19">
        <f t="shared" si="3"/>
        <v>6278.9500000000007</v>
      </c>
      <c r="P13" s="19">
        <f t="shared" si="4"/>
        <v>43952.650000000009</v>
      </c>
      <c r="Q13" s="42"/>
      <c r="R13" s="42">
        <f>D13*0.5</f>
        <v>2520</v>
      </c>
      <c r="S13" s="27"/>
      <c r="T13" s="22"/>
      <c r="U13" s="22"/>
      <c r="V13" s="22"/>
      <c r="W13" s="22"/>
      <c r="X13" s="25"/>
      <c r="Y13" s="25"/>
      <c r="Z13" s="25"/>
      <c r="AA13" s="25"/>
      <c r="AB13" s="25"/>
      <c r="AC13" s="28"/>
      <c r="AD13" s="22"/>
      <c r="AE13" s="25"/>
      <c r="AF13" s="25"/>
      <c r="AG13" s="25"/>
    </row>
    <row r="14" spans="1:33" ht="40.5" customHeight="1">
      <c r="A14" s="137"/>
      <c r="B14" s="10" t="s">
        <v>11</v>
      </c>
      <c r="C14" s="20" t="s">
        <v>60</v>
      </c>
      <c r="D14" s="35" t="s">
        <v>88</v>
      </c>
      <c r="E14" s="11" t="s">
        <v>76</v>
      </c>
      <c r="F14" s="37">
        <f>(7*3)+(6*2)</f>
        <v>33</v>
      </c>
      <c r="G14" s="30">
        <f>0.47</f>
        <v>0.47</v>
      </c>
      <c r="H14" s="13">
        <f>G14*200</f>
        <v>94</v>
      </c>
      <c r="I14" s="18">
        <v>8</v>
      </c>
      <c r="J14" s="14">
        <f>H14+ROUND(H14*I14/100,2)</f>
        <v>101.52</v>
      </c>
      <c r="K14" s="13">
        <f>F14*H14</f>
        <v>3102</v>
      </c>
      <c r="L14" s="14">
        <f>F14*J14</f>
        <v>3350.16</v>
      </c>
      <c r="M14" s="54">
        <v>23</v>
      </c>
      <c r="N14" s="54">
        <v>4.25</v>
      </c>
      <c r="O14" s="19">
        <f t="shared" si="3"/>
        <v>97.75</v>
      </c>
      <c r="P14" s="19">
        <f t="shared" si="4"/>
        <v>3225.75</v>
      </c>
      <c r="Q14" s="42"/>
      <c r="R14" s="42"/>
      <c r="S14" s="27"/>
      <c r="T14" s="22"/>
      <c r="U14" s="22"/>
      <c r="V14" s="22"/>
      <c r="W14" s="22"/>
      <c r="X14" s="25"/>
      <c r="Y14" s="25"/>
      <c r="Z14" s="25"/>
      <c r="AA14" s="25"/>
      <c r="AB14" s="25"/>
      <c r="AC14" s="28"/>
      <c r="AD14" s="22"/>
      <c r="AE14" s="25"/>
      <c r="AF14" s="25"/>
      <c r="AG14" s="25"/>
    </row>
    <row r="15" spans="1:33" ht="61.5" customHeight="1">
      <c r="A15" s="9">
        <v>2</v>
      </c>
      <c r="B15" s="10" t="s">
        <v>30</v>
      </c>
      <c r="C15" s="20" t="s">
        <v>29</v>
      </c>
      <c r="D15" s="35">
        <f>F15*80</f>
        <v>1120</v>
      </c>
      <c r="E15" s="11" t="s">
        <v>31</v>
      </c>
      <c r="F15" s="37">
        <v>14</v>
      </c>
      <c r="G15" s="30">
        <v>1</v>
      </c>
      <c r="H15" s="13">
        <f>G15*100</f>
        <v>100</v>
      </c>
      <c r="I15" s="18">
        <v>8</v>
      </c>
      <c r="J15" s="14">
        <f t="shared" si="0"/>
        <v>108</v>
      </c>
      <c r="K15" s="13">
        <f t="shared" si="1"/>
        <v>1400</v>
      </c>
      <c r="L15" s="14">
        <f t="shared" si="2"/>
        <v>1512</v>
      </c>
      <c r="M15" s="54">
        <v>23.1</v>
      </c>
      <c r="N15" s="54">
        <v>4.25</v>
      </c>
      <c r="O15" s="19">
        <f t="shared" si="3"/>
        <v>98.175000000000011</v>
      </c>
      <c r="P15" s="19">
        <f t="shared" si="4"/>
        <v>1374.4500000000003</v>
      </c>
      <c r="Q15" s="42"/>
      <c r="R15" s="43">
        <f>D15</f>
        <v>1120</v>
      </c>
      <c r="S15" s="27"/>
      <c r="T15" s="22"/>
      <c r="U15" s="22"/>
      <c r="V15" s="22"/>
      <c r="W15" s="22"/>
      <c r="X15" s="25"/>
      <c r="Y15" s="25"/>
      <c r="Z15" s="25"/>
      <c r="AA15" s="25"/>
      <c r="AB15" s="25"/>
      <c r="AC15" s="28"/>
      <c r="AD15" s="22"/>
      <c r="AE15" s="25"/>
      <c r="AF15" s="25"/>
      <c r="AG15" s="25"/>
    </row>
    <row r="16" spans="1:33" ht="51.75" customHeight="1">
      <c r="A16" s="9">
        <v>3</v>
      </c>
      <c r="B16" s="56" t="s">
        <v>83</v>
      </c>
      <c r="C16" s="38" t="s">
        <v>61</v>
      </c>
      <c r="D16" s="40" t="s">
        <v>88</v>
      </c>
      <c r="E16" s="11" t="s">
        <v>77</v>
      </c>
      <c r="F16" s="37">
        <v>13</v>
      </c>
      <c r="G16" s="30">
        <v>0.33</v>
      </c>
      <c r="H16" s="13">
        <f>G16*600</f>
        <v>198</v>
      </c>
      <c r="I16" s="18">
        <v>8</v>
      </c>
      <c r="J16" s="14">
        <f t="shared" si="0"/>
        <v>213.84</v>
      </c>
      <c r="K16" s="13">
        <f t="shared" si="1"/>
        <v>2574</v>
      </c>
      <c r="L16" s="14">
        <f t="shared" si="2"/>
        <v>2779.92</v>
      </c>
      <c r="M16" s="54">
        <v>52.4</v>
      </c>
      <c r="N16" s="54">
        <v>4.25</v>
      </c>
      <c r="O16" s="19">
        <f t="shared" si="3"/>
        <v>222.7</v>
      </c>
      <c r="P16" s="19">
        <f t="shared" si="4"/>
        <v>2895.1</v>
      </c>
      <c r="Q16" s="42"/>
      <c r="R16" s="43"/>
      <c r="S16" s="27"/>
      <c r="T16" s="22"/>
      <c r="U16" s="22"/>
      <c r="V16" s="22"/>
      <c r="W16" s="22"/>
      <c r="X16" s="25"/>
      <c r="Y16" s="25"/>
      <c r="Z16" s="25"/>
      <c r="AA16" s="25"/>
      <c r="AB16" s="25"/>
      <c r="AC16" s="28"/>
      <c r="AD16" s="22"/>
      <c r="AE16" s="25"/>
      <c r="AF16" s="25"/>
      <c r="AG16" s="25"/>
    </row>
    <row r="17" spans="1:33" ht="36.75" customHeight="1">
      <c r="A17" s="9">
        <v>4</v>
      </c>
      <c r="B17" s="158" t="s">
        <v>35</v>
      </c>
      <c r="C17" s="38" t="s">
        <v>33</v>
      </c>
      <c r="D17" s="140" t="s">
        <v>93</v>
      </c>
      <c r="E17" s="154" t="s">
        <v>32</v>
      </c>
      <c r="F17" s="156">
        <v>4</v>
      </c>
      <c r="G17" s="142">
        <v>2.0499999999999998</v>
      </c>
      <c r="H17" s="138">
        <f>G17*6*288</f>
        <v>3542.3999999999996</v>
      </c>
      <c r="I17" s="146">
        <v>8</v>
      </c>
      <c r="J17" s="148">
        <f>H17+ROUND(H17*I17/100,2)</f>
        <v>3825.7899999999995</v>
      </c>
      <c r="K17" s="138">
        <f>F17*H17</f>
        <v>14169.599999999999</v>
      </c>
      <c r="L17" s="148">
        <f>F17*J17</f>
        <v>15303.159999999998</v>
      </c>
      <c r="M17" s="54">
        <v>950</v>
      </c>
      <c r="N17" s="54">
        <v>4.25</v>
      </c>
      <c r="O17" s="19">
        <f t="shared" si="3"/>
        <v>4037.5</v>
      </c>
      <c r="P17" s="19">
        <f t="shared" si="4"/>
        <v>16150</v>
      </c>
      <c r="Q17" s="42"/>
      <c r="R17" s="43"/>
      <c r="S17" s="27"/>
      <c r="T17" s="22"/>
      <c r="U17" s="22"/>
      <c r="V17" s="22"/>
      <c r="W17" s="22"/>
      <c r="X17" s="25"/>
      <c r="Y17" s="25"/>
      <c r="Z17" s="25"/>
      <c r="AA17" s="25"/>
      <c r="AB17" s="25"/>
      <c r="AC17" s="28"/>
      <c r="AD17" s="22"/>
      <c r="AE17" s="25"/>
      <c r="AF17" s="25"/>
      <c r="AG17" s="25"/>
    </row>
    <row r="18" spans="1:33" ht="36.75" customHeight="1">
      <c r="A18" s="9">
        <v>5</v>
      </c>
      <c r="B18" s="159"/>
      <c r="C18" s="38" t="s">
        <v>34</v>
      </c>
      <c r="D18" s="140"/>
      <c r="E18" s="155"/>
      <c r="F18" s="157"/>
      <c r="G18" s="143"/>
      <c r="H18" s="139"/>
      <c r="I18" s="147"/>
      <c r="J18" s="149"/>
      <c r="K18" s="139"/>
      <c r="L18" s="149"/>
      <c r="M18" s="54"/>
      <c r="N18" s="54">
        <v>4.25</v>
      </c>
      <c r="O18" s="19">
        <f t="shared" si="3"/>
        <v>0</v>
      </c>
      <c r="P18" s="19">
        <f t="shared" si="4"/>
        <v>0</v>
      </c>
      <c r="Q18" s="42"/>
      <c r="R18" s="43">
        <v>20</v>
      </c>
      <c r="S18" s="27"/>
      <c r="T18" s="22"/>
      <c r="U18" s="22"/>
      <c r="V18" s="22"/>
      <c r="W18" s="22"/>
      <c r="X18" s="25"/>
      <c r="Y18" s="25"/>
      <c r="Z18" s="25"/>
      <c r="AA18" s="25"/>
      <c r="AB18" s="25"/>
      <c r="AC18" s="28"/>
      <c r="AD18" s="22"/>
      <c r="AE18" s="25"/>
      <c r="AF18" s="25"/>
      <c r="AG18" s="25"/>
    </row>
    <row r="19" spans="1:33" ht="84.75" customHeight="1">
      <c r="A19" s="9">
        <v>6</v>
      </c>
      <c r="B19" s="10" t="s">
        <v>36</v>
      </c>
      <c r="C19" s="38" t="s">
        <v>64</v>
      </c>
      <c r="D19" s="36">
        <f>F19*288</f>
        <v>30240</v>
      </c>
      <c r="E19" s="11" t="s">
        <v>37</v>
      </c>
      <c r="F19" s="37">
        <v>105</v>
      </c>
      <c r="G19" s="30">
        <v>1.35</v>
      </c>
      <c r="H19" s="13">
        <f>G19*288</f>
        <v>388.8</v>
      </c>
      <c r="I19" s="18">
        <v>8</v>
      </c>
      <c r="J19" s="14">
        <f t="shared" si="0"/>
        <v>419.90000000000003</v>
      </c>
      <c r="K19" s="13">
        <f t="shared" si="1"/>
        <v>40824</v>
      </c>
      <c r="L19" s="14">
        <f t="shared" si="2"/>
        <v>44089.5</v>
      </c>
      <c r="M19" s="54">
        <v>88</v>
      </c>
      <c r="N19" s="54">
        <v>4.25</v>
      </c>
      <c r="O19" s="19">
        <f t="shared" si="3"/>
        <v>374</v>
      </c>
      <c r="P19" s="19">
        <f t="shared" si="4"/>
        <v>39270</v>
      </c>
      <c r="Q19" s="42">
        <f>D19</f>
        <v>30240</v>
      </c>
      <c r="R19" s="43"/>
      <c r="S19" s="27"/>
      <c r="T19" s="22"/>
      <c r="U19" s="22"/>
      <c r="V19" s="22"/>
      <c r="W19" s="22"/>
      <c r="X19" s="25"/>
      <c r="Y19" s="25"/>
      <c r="Z19" s="25"/>
      <c r="AA19" s="25"/>
      <c r="AB19" s="25"/>
      <c r="AC19" s="28"/>
      <c r="AD19" s="22"/>
      <c r="AE19" s="25"/>
      <c r="AF19" s="25"/>
      <c r="AG19" s="25"/>
    </row>
    <row r="20" spans="1:33" ht="104.25" customHeight="1">
      <c r="A20" s="135">
        <v>7</v>
      </c>
      <c r="B20" s="10" t="s">
        <v>38</v>
      </c>
      <c r="C20" s="38" t="s">
        <v>65</v>
      </c>
      <c r="D20" s="36">
        <f>F20*192</f>
        <v>11136</v>
      </c>
      <c r="E20" s="11" t="s">
        <v>39</v>
      </c>
      <c r="F20" s="37">
        <v>58</v>
      </c>
      <c r="G20" s="30">
        <v>8.9499999999999993</v>
      </c>
      <c r="H20" s="13">
        <f>G20*192</f>
        <v>1718.3999999999999</v>
      </c>
      <c r="I20" s="18">
        <v>8</v>
      </c>
      <c r="J20" s="14">
        <f t="shared" si="0"/>
        <v>1855.87</v>
      </c>
      <c r="K20" s="13">
        <f t="shared" si="1"/>
        <v>99667.199999999997</v>
      </c>
      <c r="L20" s="14">
        <f t="shared" si="2"/>
        <v>107640.45999999999</v>
      </c>
      <c r="M20" s="54">
        <v>396</v>
      </c>
      <c r="N20" s="54">
        <v>4.25</v>
      </c>
      <c r="O20" s="19">
        <f t="shared" si="3"/>
        <v>1683</v>
      </c>
      <c r="P20" s="19">
        <f t="shared" si="4"/>
        <v>97614</v>
      </c>
      <c r="Q20" s="42">
        <f>D20/2</f>
        <v>5568</v>
      </c>
      <c r="R20" s="58" t="s">
        <v>95</v>
      </c>
      <c r="S20" s="27"/>
      <c r="T20" s="22"/>
      <c r="U20" s="22"/>
      <c r="V20" s="22"/>
      <c r="W20" s="22"/>
      <c r="X20" s="25"/>
      <c r="Y20" s="25"/>
      <c r="Z20" s="25"/>
      <c r="AA20" s="25"/>
      <c r="AB20" s="25"/>
      <c r="AC20" s="28"/>
      <c r="AD20" s="22"/>
      <c r="AE20" s="25"/>
      <c r="AF20" s="25"/>
      <c r="AG20" s="25"/>
    </row>
    <row r="21" spans="1:33" ht="36" customHeight="1">
      <c r="A21" s="137"/>
      <c r="B21" s="10" t="s">
        <v>42</v>
      </c>
      <c r="C21" s="20" t="s">
        <v>41</v>
      </c>
      <c r="D21" s="36">
        <f>F21*72</f>
        <v>4032</v>
      </c>
      <c r="E21" s="11" t="s">
        <v>40</v>
      </c>
      <c r="F21" s="37">
        <v>56</v>
      </c>
      <c r="G21" s="30">
        <v>2.4500000000000002</v>
      </c>
      <c r="H21" s="13">
        <f>G21*72</f>
        <v>176.4</v>
      </c>
      <c r="I21" s="18">
        <v>8</v>
      </c>
      <c r="J21" s="14">
        <f t="shared" si="0"/>
        <v>190.51</v>
      </c>
      <c r="K21" s="13">
        <f t="shared" si="1"/>
        <v>9878.4</v>
      </c>
      <c r="L21" s="14">
        <f t="shared" si="2"/>
        <v>10668.56</v>
      </c>
      <c r="M21" s="54">
        <v>44.1</v>
      </c>
      <c r="N21" s="54">
        <v>4.25</v>
      </c>
      <c r="O21" s="19">
        <f t="shared" si="3"/>
        <v>187.42500000000001</v>
      </c>
      <c r="P21" s="19">
        <f t="shared" si="4"/>
        <v>10495.800000000001</v>
      </c>
      <c r="Q21" s="45"/>
      <c r="R21" s="58" t="s">
        <v>96</v>
      </c>
      <c r="S21" s="27"/>
      <c r="T21" s="22"/>
      <c r="U21" s="22"/>
      <c r="V21" s="22"/>
      <c r="W21" s="22"/>
      <c r="X21" s="25"/>
      <c r="Y21" s="25"/>
      <c r="Z21" s="25"/>
      <c r="AA21" s="25"/>
      <c r="AB21" s="25"/>
      <c r="AC21" s="28"/>
      <c r="AD21" s="22"/>
      <c r="AE21" s="25"/>
      <c r="AF21" s="25"/>
      <c r="AG21" s="25"/>
    </row>
    <row r="22" spans="1:33" ht="54" customHeight="1">
      <c r="A22" s="9">
        <v>8</v>
      </c>
      <c r="B22" s="10" t="s">
        <v>43</v>
      </c>
      <c r="C22" s="20" t="s">
        <v>62</v>
      </c>
      <c r="D22" s="36">
        <f>F22*72</f>
        <v>504</v>
      </c>
      <c r="E22" s="11" t="s">
        <v>40</v>
      </c>
      <c r="F22" s="37">
        <v>7</v>
      </c>
      <c r="G22" s="30">
        <v>5.4</v>
      </c>
      <c r="H22" s="13">
        <f>G22*72</f>
        <v>388.8</v>
      </c>
      <c r="I22" s="18">
        <v>8</v>
      </c>
      <c r="J22" s="14">
        <f t="shared" si="0"/>
        <v>419.90000000000003</v>
      </c>
      <c r="K22" s="13">
        <f t="shared" si="1"/>
        <v>2721.6</v>
      </c>
      <c r="L22" s="14">
        <f t="shared" si="2"/>
        <v>2939.3</v>
      </c>
      <c r="M22" s="54">
        <v>90.3</v>
      </c>
      <c r="N22" s="54">
        <v>4.25</v>
      </c>
      <c r="O22" s="19">
        <f t="shared" si="3"/>
        <v>383.77499999999998</v>
      </c>
      <c r="P22" s="19">
        <f t="shared" si="4"/>
        <v>2686.4249999999997</v>
      </c>
      <c r="Q22" s="42">
        <f>D22*0.5</f>
        <v>252</v>
      </c>
      <c r="R22" s="43"/>
      <c r="S22" s="27"/>
      <c r="T22" s="22"/>
      <c r="U22" s="22"/>
      <c r="V22" s="22"/>
      <c r="W22" s="22"/>
      <c r="X22" s="25"/>
      <c r="Y22" s="25"/>
      <c r="Z22" s="25"/>
      <c r="AA22" s="25"/>
      <c r="AB22" s="25"/>
      <c r="AC22" s="28"/>
      <c r="AD22" s="22"/>
      <c r="AE22" s="25"/>
      <c r="AF22" s="25"/>
      <c r="AG22" s="25"/>
    </row>
    <row r="23" spans="1:33" ht="95.25" customHeight="1">
      <c r="A23" s="9">
        <v>9</v>
      </c>
      <c r="B23" s="10" t="s">
        <v>74</v>
      </c>
      <c r="C23" s="39" t="s">
        <v>44</v>
      </c>
      <c r="D23" s="36">
        <f>F23*12</f>
        <v>5004</v>
      </c>
      <c r="E23" s="11" t="s">
        <v>70</v>
      </c>
      <c r="F23" s="37">
        <v>417</v>
      </c>
      <c r="G23" s="30">
        <v>36.200000000000003</v>
      </c>
      <c r="H23" s="13">
        <f>G23*12</f>
        <v>434.40000000000003</v>
      </c>
      <c r="I23" s="18">
        <v>8</v>
      </c>
      <c r="J23" s="14">
        <f t="shared" si="0"/>
        <v>469.15000000000003</v>
      </c>
      <c r="K23" s="13">
        <f t="shared" si="1"/>
        <v>181144.80000000002</v>
      </c>
      <c r="L23" s="14">
        <f t="shared" si="2"/>
        <v>195635.55000000002</v>
      </c>
      <c r="M23" s="54">
        <v>102.3</v>
      </c>
      <c r="N23" s="54">
        <v>4.25</v>
      </c>
      <c r="O23" s="19">
        <f t="shared" si="3"/>
        <v>434.77499999999998</v>
      </c>
      <c r="P23" s="19">
        <f t="shared" si="4"/>
        <v>181301.17499999999</v>
      </c>
      <c r="Q23" s="42">
        <f>D23*0.5</f>
        <v>2502</v>
      </c>
      <c r="R23" s="43"/>
      <c r="S23" s="27"/>
      <c r="T23" s="22"/>
      <c r="U23" s="22"/>
      <c r="V23" s="22"/>
      <c r="W23" s="22"/>
      <c r="X23" s="25"/>
      <c r="Y23" s="25"/>
      <c r="Z23" s="25"/>
      <c r="AA23" s="25"/>
      <c r="AB23" s="25"/>
      <c r="AC23" s="28"/>
      <c r="AD23" s="22"/>
      <c r="AE23" s="25"/>
      <c r="AF23" s="25"/>
      <c r="AG23" s="25"/>
    </row>
    <row r="24" spans="1:33" ht="52.5" customHeight="1">
      <c r="A24" s="9">
        <v>10</v>
      </c>
      <c r="B24" s="10" t="s">
        <v>73</v>
      </c>
      <c r="C24" s="20" t="s">
        <v>45</v>
      </c>
      <c r="D24" s="36">
        <f>F24*12</f>
        <v>5004</v>
      </c>
      <c r="E24" s="11" t="s">
        <v>70</v>
      </c>
      <c r="F24" s="37">
        <v>417</v>
      </c>
      <c r="G24" s="30">
        <v>33.5</v>
      </c>
      <c r="H24" s="13">
        <f>G24*12</f>
        <v>402</v>
      </c>
      <c r="I24" s="18">
        <v>8</v>
      </c>
      <c r="J24" s="14">
        <f t="shared" si="0"/>
        <v>434.15999999999997</v>
      </c>
      <c r="K24" s="13">
        <f t="shared" si="1"/>
        <v>167634</v>
      </c>
      <c r="L24" s="14">
        <f t="shared" si="2"/>
        <v>181044.72</v>
      </c>
      <c r="M24" s="54">
        <v>94.6</v>
      </c>
      <c r="N24" s="54">
        <v>4.25</v>
      </c>
      <c r="O24" s="19">
        <f t="shared" si="3"/>
        <v>402.04999999999995</v>
      </c>
      <c r="P24" s="19">
        <f t="shared" si="4"/>
        <v>167654.84999999998</v>
      </c>
      <c r="Q24" s="42">
        <f>D24*0.5</f>
        <v>2502</v>
      </c>
      <c r="R24" s="44"/>
      <c r="S24" s="27"/>
      <c r="T24" s="22"/>
      <c r="U24" s="22"/>
      <c r="V24" s="22"/>
      <c r="W24" s="22"/>
      <c r="X24" s="25"/>
      <c r="Y24" s="25"/>
      <c r="Z24" s="25"/>
      <c r="AA24" s="25"/>
      <c r="AB24" s="25"/>
      <c r="AC24" s="28"/>
      <c r="AD24" s="22"/>
      <c r="AE24" s="25"/>
      <c r="AF24" s="25"/>
      <c r="AG24" s="25"/>
    </row>
    <row r="25" spans="1:33" s="6" customFormat="1" ht="44.25" customHeight="1">
      <c r="A25" s="135">
        <v>11</v>
      </c>
      <c r="B25" s="16" t="s">
        <v>71</v>
      </c>
      <c r="C25" s="20" t="s">
        <v>46</v>
      </c>
      <c r="D25" s="36">
        <f>F25*12</f>
        <v>5004</v>
      </c>
      <c r="E25" s="11" t="s">
        <v>70</v>
      </c>
      <c r="F25" s="37">
        <v>417</v>
      </c>
      <c r="G25" s="30">
        <v>15.6</v>
      </c>
      <c r="H25" s="13">
        <f>G25*12</f>
        <v>187.2</v>
      </c>
      <c r="I25" s="18">
        <v>8</v>
      </c>
      <c r="J25" s="14">
        <f t="shared" si="0"/>
        <v>202.17999999999998</v>
      </c>
      <c r="K25" s="13">
        <f t="shared" si="1"/>
        <v>78062.399999999994</v>
      </c>
      <c r="L25" s="14">
        <f t="shared" si="2"/>
        <v>84309.06</v>
      </c>
      <c r="M25" s="54">
        <v>44</v>
      </c>
      <c r="N25" s="54">
        <v>4.25</v>
      </c>
      <c r="O25" s="19">
        <f t="shared" si="3"/>
        <v>187</v>
      </c>
      <c r="P25" s="19">
        <f t="shared" si="4"/>
        <v>77979</v>
      </c>
      <c r="Q25" s="42"/>
      <c r="R25" s="43">
        <f>D25</f>
        <v>5004</v>
      </c>
      <c r="S25" s="27"/>
      <c r="T25" s="22"/>
      <c r="U25" s="22"/>
      <c r="V25" s="22"/>
      <c r="W25" s="22"/>
      <c r="X25" s="25"/>
      <c r="Y25" s="25"/>
      <c r="Z25" s="25"/>
      <c r="AA25" s="25"/>
      <c r="AB25" s="25"/>
      <c r="AC25" s="29"/>
      <c r="AD25" s="22"/>
      <c r="AE25" s="25"/>
      <c r="AF25" s="25"/>
      <c r="AG25" s="25"/>
    </row>
    <row r="26" spans="1:33" s="6" customFormat="1" ht="44.25" customHeight="1">
      <c r="A26" s="137"/>
      <c r="B26" s="16" t="s">
        <v>72</v>
      </c>
      <c r="C26" s="20" t="s">
        <v>47</v>
      </c>
      <c r="D26" s="33">
        <f>F26*90</f>
        <v>5580</v>
      </c>
      <c r="E26" s="17" t="s">
        <v>75</v>
      </c>
      <c r="F26" s="37">
        <v>62</v>
      </c>
      <c r="G26" s="30">
        <v>19.2</v>
      </c>
      <c r="H26" s="13">
        <f>G26*90</f>
        <v>1728</v>
      </c>
      <c r="I26" s="18">
        <v>8</v>
      </c>
      <c r="J26" s="14">
        <f t="shared" si="0"/>
        <v>1866.24</v>
      </c>
      <c r="K26" s="13">
        <f t="shared" si="1"/>
        <v>107136</v>
      </c>
      <c r="L26" s="14">
        <f t="shared" si="2"/>
        <v>115706.88</v>
      </c>
      <c r="M26" s="54">
        <v>405.9</v>
      </c>
      <c r="N26" s="54">
        <v>4.25</v>
      </c>
      <c r="O26" s="19">
        <f t="shared" si="3"/>
        <v>1725.0749999999998</v>
      </c>
      <c r="P26" s="19">
        <f t="shared" si="4"/>
        <v>106954.65</v>
      </c>
      <c r="Q26" s="42"/>
      <c r="R26" s="43"/>
      <c r="S26" s="27"/>
      <c r="T26" s="22"/>
      <c r="U26" s="22"/>
      <c r="V26" s="22"/>
      <c r="W26" s="22"/>
      <c r="X26" s="25"/>
      <c r="Y26" s="25"/>
      <c r="Z26" s="25"/>
      <c r="AA26" s="25"/>
      <c r="AB26" s="25"/>
      <c r="AC26" s="29"/>
      <c r="AD26" s="22"/>
      <c r="AE26" s="25"/>
      <c r="AF26" s="25"/>
      <c r="AG26" s="25"/>
    </row>
    <row r="27" spans="1:33" s="6" customFormat="1" ht="30" customHeight="1">
      <c r="A27" s="9">
        <v>12</v>
      </c>
      <c r="B27" s="16" t="s">
        <v>19</v>
      </c>
      <c r="C27" s="20" t="s">
        <v>48</v>
      </c>
      <c r="D27" s="33" t="s">
        <v>88</v>
      </c>
      <c r="E27" s="17" t="s">
        <v>20</v>
      </c>
      <c r="F27" s="37">
        <v>13</v>
      </c>
      <c r="G27" s="31" t="s">
        <v>23</v>
      </c>
      <c r="H27" s="13">
        <v>530</v>
      </c>
      <c r="I27" s="18">
        <v>8</v>
      </c>
      <c r="J27" s="14">
        <f t="shared" si="0"/>
        <v>572.4</v>
      </c>
      <c r="K27" s="13">
        <f t="shared" si="1"/>
        <v>6890</v>
      </c>
      <c r="L27" s="14">
        <f t="shared" si="2"/>
        <v>7441.2</v>
      </c>
      <c r="M27" s="54">
        <v>134.4</v>
      </c>
      <c r="N27" s="54">
        <v>4.25</v>
      </c>
      <c r="O27" s="19">
        <f t="shared" si="3"/>
        <v>571.20000000000005</v>
      </c>
      <c r="P27" s="19">
        <f t="shared" si="4"/>
        <v>7425.6</v>
      </c>
      <c r="Q27" s="42"/>
      <c r="R27" s="43"/>
      <c r="S27" s="27"/>
      <c r="T27" s="22"/>
      <c r="U27" s="22"/>
      <c r="V27" s="22"/>
      <c r="W27" s="22"/>
      <c r="X27" s="25"/>
      <c r="Y27" s="25"/>
      <c r="Z27" s="25"/>
      <c r="AA27" s="25"/>
      <c r="AB27" s="25"/>
      <c r="AC27" s="29"/>
      <c r="AD27" s="22"/>
      <c r="AE27" s="25"/>
      <c r="AF27" s="25"/>
      <c r="AG27" s="25"/>
    </row>
    <row r="28" spans="1:33" s="6" customFormat="1" ht="30" customHeight="1">
      <c r="A28" s="9">
        <v>13</v>
      </c>
      <c r="B28" s="16" t="s">
        <v>55</v>
      </c>
      <c r="C28" s="38" t="s">
        <v>49</v>
      </c>
      <c r="D28" s="33" t="s">
        <v>88</v>
      </c>
      <c r="E28" s="17" t="s">
        <v>13</v>
      </c>
      <c r="F28" s="37">
        <v>120</v>
      </c>
      <c r="G28" s="31">
        <v>0.98</v>
      </c>
      <c r="H28" s="13">
        <f>G28*500</f>
        <v>490</v>
      </c>
      <c r="I28" s="18">
        <v>8</v>
      </c>
      <c r="J28" s="14">
        <f t="shared" si="0"/>
        <v>529.20000000000005</v>
      </c>
      <c r="K28" s="13">
        <f t="shared" si="1"/>
        <v>58800</v>
      </c>
      <c r="L28" s="14">
        <f t="shared" si="2"/>
        <v>63504.000000000007</v>
      </c>
      <c r="M28" s="54">
        <v>134.19999999999999</v>
      </c>
      <c r="N28" s="54">
        <v>4.25</v>
      </c>
      <c r="O28" s="19">
        <f t="shared" si="3"/>
        <v>570.34999999999991</v>
      </c>
      <c r="P28" s="19">
        <f t="shared" si="4"/>
        <v>68441.999999999985</v>
      </c>
      <c r="Q28" s="42"/>
      <c r="R28" s="43"/>
      <c r="S28" s="27"/>
      <c r="T28" s="22"/>
      <c r="U28" s="22"/>
      <c r="V28" s="22"/>
      <c r="W28" s="22"/>
      <c r="X28" s="25"/>
      <c r="Y28" s="25"/>
      <c r="Z28" s="25"/>
      <c r="AA28" s="25"/>
      <c r="AB28" s="25"/>
      <c r="AC28" s="29"/>
      <c r="AD28" s="22"/>
      <c r="AE28" s="25"/>
      <c r="AF28" s="25"/>
      <c r="AG28" s="25"/>
    </row>
    <row r="29" spans="1:33" s="6" customFormat="1" ht="30" customHeight="1">
      <c r="A29" s="9">
        <v>14</v>
      </c>
      <c r="B29" s="16" t="s">
        <v>12</v>
      </c>
      <c r="C29" s="38" t="s">
        <v>50</v>
      </c>
      <c r="D29" s="33" t="s">
        <v>88</v>
      </c>
      <c r="E29" s="17" t="s">
        <v>13</v>
      </c>
      <c r="F29" s="37">
        <v>23</v>
      </c>
      <c r="G29" s="31">
        <v>0.55000000000000004</v>
      </c>
      <c r="H29" s="13">
        <f>G29*500</f>
        <v>275</v>
      </c>
      <c r="I29" s="18">
        <v>8</v>
      </c>
      <c r="J29" s="14">
        <f t="shared" si="0"/>
        <v>297</v>
      </c>
      <c r="K29" s="13">
        <f t="shared" si="1"/>
        <v>6325</v>
      </c>
      <c r="L29" s="14">
        <f t="shared" si="2"/>
        <v>6831</v>
      </c>
      <c r="M29" s="54">
        <v>74.8</v>
      </c>
      <c r="N29" s="54">
        <v>4.25</v>
      </c>
      <c r="O29" s="19">
        <f t="shared" si="3"/>
        <v>317.89999999999998</v>
      </c>
      <c r="P29" s="19">
        <f t="shared" si="4"/>
        <v>7311.7</v>
      </c>
      <c r="Q29" s="42"/>
      <c r="R29" s="43"/>
      <c r="S29" s="27"/>
      <c r="T29" s="22"/>
      <c r="U29" s="22"/>
      <c r="V29" s="22"/>
      <c r="W29" s="22"/>
      <c r="X29" s="25"/>
      <c r="Y29" s="25"/>
      <c r="Z29" s="25"/>
      <c r="AA29" s="25"/>
      <c r="AB29" s="25"/>
      <c r="AC29" s="29"/>
      <c r="AD29" s="22"/>
      <c r="AE29" s="25"/>
      <c r="AF29" s="25"/>
      <c r="AG29" s="25"/>
    </row>
    <row r="30" spans="1:33" s="6" customFormat="1" ht="30" customHeight="1">
      <c r="A30" s="9">
        <v>15</v>
      </c>
      <c r="B30" s="16" t="s">
        <v>14</v>
      </c>
      <c r="C30" s="38" t="s">
        <v>51</v>
      </c>
      <c r="D30" s="33" t="s">
        <v>88</v>
      </c>
      <c r="E30" s="17" t="s">
        <v>69</v>
      </c>
      <c r="F30" s="37">
        <v>120</v>
      </c>
      <c r="G30" s="31" t="s">
        <v>23</v>
      </c>
      <c r="H30" s="13">
        <v>75</v>
      </c>
      <c r="I30" s="18">
        <v>8</v>
      </c>
      <c r="J30" s="14">
        <f t="shared" si="0"/>
        <v>81</v>
      </c>
      <c r="K30" s="13">
        <f t="shared" si="1"/>
        <v>9000</v>
      </c>
      <c r="L30" s="14">
        <f t="shared" si="2"/>
        <v>9720</v>
      </c>
      <c r="M30" s="54">
        <v>21</v>
      </c>
      <c r="N30" s="54">
        <v>4.25</v>
      </c>
      <c r="O30" s="19">
        <f t="shared" si="3"/>
        <v>89.25</v>
      </c>
      <c r="P30" s="19">
        <f t="shared" si="4"/>
        <v>10710</v>
      </c>
      <c r="Q30" s="42"/>
      <c r="R30" s="43"/>
      <c r="S30" s="27"/>
      <c r="T30" s="22"/>
      <c r="U30" s="22"/>
      <c r="V30" s="22"/>
      <c r="W30" s="22"/>
      <c r="X30" s="25"/>
      <c r="Y30" s="25"/>
      <c r="Z30" s="25"/>
      <c r="AA30" s="25"/>
      <c r="AB30" s="25"/>
      <c r="AC30" s="29"/>
      <c r="AD30" s="22"/>
      <c r="AE30" s="25"/>
      <c r="AF30" s="25"/>
      <c r="AG30" s="25"/>
    </row>
    <row r="31" spans="1:33" s="6" customFormat="1" ht="30" customHeight="1">
      <c r="A31" s="9">
        <v>16</v>
      </c>
      <c r="B31" s="16" t="s">
        <v>56</v>
      </c>
      <c r="C31" s="38" t="s">
        <v>52</v>
      </c>
      <c r="D31" s="33" t="s">
        <v>88</v>
      </c>
      <c r="E31" s="17" t="s">
        <v>69</v>
      </c>
      <c r="F31" s="37">
        <v>40</v>
      </c>
      <c r="G31" s="31" t="s">
        <v>23</v>
      </c>
      <c r="H31" s="13">
        <v>75</v>
      </c>
      <c r="I31" s="18">
        <v>8</v>
      </c>
      <c r="J31" s="14">
        <f t="shared" si="0"/>
        <v>81</v>
      </c>
      <c r="K31" s="13">
        <f t="shared" si="1"/>
        <v>3000</v>
      </c>
      <c r="L31" s="14">
        <f t="shared" si="2"/>
        <v>3240</v>
      </c>
      <c r="M31" s="54">
        <v>21</v>
      </c>
      <c r="N31" s="54">
        <v>4.25</v>
      </c>
      <c r="O31" s="19">
        <f t="shared" si="3"/>
        <v>89.25</v>
      </c>
      <c r="P31" s="19">
        <f t="shared" si="4"/>
        <v>3570</v>
      </c>
      <c r="Q31" s="42"/>
      <c r="R31" s="43"/>
      <c r="S31" s="27"/>
      <c r="T31" s="22"/>
      <c r="U31" s="22"/>
      <c r="V31" s="22"/>
      <c r="W31" s="22"/>
      <c r="X31" s="25"/>
      <c r="Y31" s="25"/>
      <c r="Z31" s="25"/>
      <c r="AA31" s="25"/>
      <c r="AB31" s="25"/>
      <c r="AC31" s="29"/>
      <c r="AD31" s="22"/>
      <c r="AE31" s="25"/>
      <c r="AF31" s="25"/>
      <c r="AG31" s="25"/>
    </row>
    <row r="32" spans="1:33" s="6" customFormat="1" ht="30" customHeight="1">
      <c r="A32" s="9">
        <v>17</v>
      </c>
      <c r="B32" s="16" t="s">
        <v>57</v>
      </c>
      <c r="C32" s="38" t="s">
        <v>53</v>
      </c>
      <c r="D32" s="33" t="s">
        <v>88</v>
      </c>
      <c r="E32" s="17" t="s">
        <v>68</v>
      </c>
      <c r="F32" s="37">
        <v>2</v>
      </c>
      <c r="G32" s="31" t="s">
        <v>23</v>
      </c>
      <c r="H32" s="13">
        <v>108.5</v>
      </c>
      <c r="I32" s="18">
        <v>23</v>
      </c>
      <c r="J32" s="14">
        <f t="shared" si="0"/>
        <v>133.46</v>
      </c>
      <c r="K32" s="13">
        <f t="shared" si="1"/>
        <v>217</v>
      </c>
      <c r="L32" s="14">
        <f t="shared" si="2"/>
        <v>266.92</v>
      </c>
      <c r="M32" s="54">
        <v>25.2</v>
      </c>
      <c r="N32" s="54">
        <v>4.25</v>
      </c>
      <c r="O32" s="19">
        <f t="shared" si="3"/>
        <v>107.1</v>
      </c>
      <c r="P32" s="19">
        <f t="shared" si="4"/>
        <v>214.2</v>
      </c>
      <c r="Q32" s="42"/>
      <c r="R32" s="43"/>
      <c r="S32" s="27"/>
      <c r="T32" s="22"/>
      <c r="U32" s="22"/>
      <c r="V32" s="22"/>
      <c r="W32" s="22"/>
      <c r="X32" s="25"/>
      <c r="Y32" s="25"/>
      <c r="Z32" s="25"/>
      <c r="AA32" s="25"/>
      <c r="AB32" s="25"/>
      <c r="AC32" s="29"/>
      <c r="AD32" s="22"/>
      <c r="AE32" s="25"/>
      <c r="AF32" s="25"/>
      <c r="AG32" s="25"/>
    </row>
    <row r="33" spans="1:33" s="6" customFormat="1" ht="30" customHeight="1">
      <c r="A33" s="9">
        <v>18</v>
      </c>
      <c r="B33" s="16" t="s">
        <v>66</v>
      </c>
      <c r="C33" s="38" t="s">
        <v>54</v>
      </c>
      <c r="D33" s="33" t="s">
        <v>88</v>
      </c>
      <c r="E33" s="17" t="s">
        <v>67</v>
      </c>
      <c r="F33" s="37">
        <v>4</v>
      </c>
      <c r="G33" s="31" t="s">
        <v>23</v>
      </c>
      <c r="H33" s="13">
        <v>150.5</v>
      </c>
      <c r="I33" s="18">
        <v>23</v>
      </c>
      <c r="J33" s="14">
        <f t="shared" si="0"/>
        <v>185.12</v>
      </c>
      <c r="K33" s="13">
        <f t="shared" si="1"/>
        <v>602</v>
      </c>
      <c r="L33" s="14">
        <f t="shared" si="2"/>
        <v>740.48</v>
      </c>
      <c r="M33" s="54">
        <v>35</v>
      </c>
      <c r="N33" s="54">
        <v>4.25</v>
      </c>
      <c r="O33" s="19">
        <f t="shared" si="3"/>
        <v>148.75</v>
      </c>
      <c r="P33" s="19">
        <f t="shared" si="4"/>
        <v>595</v>
      </c>
      <c r="Q33" s="45">
        <f>SUM(Q11:Q32)</f>
        <v>46104</v>
      </c>
      <c r="R33" s="43">
        <f>SUM(R11:R32)</f>
        <v>8664</v>
      </c>
      <c r="S33" s="27"/>
      <c r="T33" s="22"/>
      <c r="U33" s="22"/>
      <c r="V33" s="22"/>
      <c r="W33" s="22"/>
      <c r="X33" s="25"/>
      <c r="Y33" s="25"/>
      <c r="Z33" s="25"/>
      <c r="AA33" s="25"/>
      <c r="AB33" s="25"/>
      <c r="AC33" s="29"/>
      <c r="AD33" s="22"/>
      <c r="AE33" s="25"/>
      <c r="AF33" s="25"/>
      <c r="AG33" s="25"/>
    </row>
    <row r="34" spans="1:33" s="6" customFormat="1" ht="99" customHeight="1">
      <c r="A34" s="9">
        <v>19</v>
      </c>
      <c r="B34" s="16" t="s">
        <v>23</v>
      </c>
      <c r="C34" s="38" t="s">
        <v>89</v>
      </c>
      <c r="D34" s="33" t="s">
        <v>94</v>
      </c>
      <c r="E34" s="17" t="s">
        <v>80</v>
      </c>
      <c r="F34" s="37">
        <v>12</v>
      </c>
      <c r="G34" s="31" t="s">
        <v>23</v>
      </c>
      <c r="H34" s="13">
        <v>3800</v>
      </c>
      <c r="I34" s="18">
        <v>23</v>
      </c>
      <c r="J34" s="14">
        <f t="shared" si="0"/>
        <v>4674</v>
      </c>
      <c r="K34" s="13">
        <f t="shared" si="1"/>
        <v>45600</v>
      </c>
      <c r="L34" s="14">
        <f t="shared" si="2"/>
        <v>56088</v>
      </c>
      <c r="M34" s="54"/>
      <c r="N34" s="54"/>
      <c r="O34" s="19"/>
      <c r="P34" s="23">
        <f>SUM(P11:P33)</f>
        <v>865543.09999999986</v>
      </c>
      <c r="Q34" s="42">
        <f>Q33/500</f>
        <v>92.207999999999998</v>
      </c>
      <c r="R34" s="43">
        <f>R33/500</f>
        <v>17.327999999999999</v>
      </c>
      <c r="S34" s="27"/>
      <c r="T34" s="22"/>
      <c r="U34" s="22"/>
      <c r="V34" s="22"/>
      <c r="W34" s="22"/>
      <c r="X34" s="25"/>
      <c r="Y34" s="25"/>
      <c r="Z34" s="25"/>
      <c r="AA34" s="25"/>
      <c r="AB34" s="25"/>
      <c r="AC34" s="29"/>
      <c r="AD34" s="22"/>
      <c r="AE34" s="25"/>
      <c r="AF34" s="25"/>
      <c r="AG34" s="25"/>
    </row>
    <row r="35" spans="1:33" s="6" customFormat="1" ht="24.95" customHeight="1">
      <c r="A35" s="151" t="s">
        <v>9</v>
      </c>
      <c r="B35" s="152"/>
      <c r="C35" s="152"/>
      <c r="D35" s="152"/>
      <c r="E35" s="152"/>
      <c r="F35" s="152"/>
      <c r="G35" s="152"/>
      <c r="H35" s="152"/>
      <c r="I35" s="152"/>
      <c r="J35" s="153"/>
      <c r="K35" s="32">
        <f>SUM(K11:K34)</f>
        <v>892250</v>
      </c>
      <c r="L35" s="15">
        <f>SUM(L11:L34)</f>
        <v>970593.09999999986</v>
      </c>
      <c r="M35" s="55"/>
      <c r="N35" s="55"/>
      <c r="O35" s="19"/>
      <c r="P35" s="19">
        <f>SUM(K11:K33)</f>
        <v>846650</v>
      </c>
      <c r="Q35" s="59">
        <f>Q34*1.3</f>
        <v>119.8704</v>
      </c>
      <c r="R35" s="60">
        <f>R34*1.3</f>
        <v>22.526399999999999</v>
      </c>
      <c r="S35" s="27"/>
      <c r="T35" s="22"/>
      <c r="U35" s="22"/>
      <c r="V35" s="22"/>
      <c r="W35" s="22"/>
      <c r="X35" s="25"/>
      <c r="Y35" s="25"/>
      <c r="Z35" s="25"/>
      <c r="AA35" s="25"/>
      <c r="AB35" s="25"/>
      <c r="AC35" s="29"/>
      <c r="AD35" s="22"/>
      <c r="AE35" s="25"/>
      <c r="AF35" s="25"/>
      <c r="AG35" s="25"/>
    </row>
    <row r="36" spans="1:33" ht="24.95" customHeight="1">
      <c r="A36" s="3"/>
      <c r="F36" s="4"/>
      <c r="G36" s="4"/>
      <c r="H36" s="1"/>
      <c r="K36" s="5"/>
      <c r="P36">
        <f>P35*100/P34-100</f>
        <v>-2.182802912991832</v>
      </c>
      <c r="Q36" s="4"/>
      <c r="R36" s="4"/>
    </row>
    <row r="37" spans="1:33" ht="24.95" customHeight="1">
      <c r="A37" s="3"/>
      <c r="C37" s="47" t="s">
        <v>81</v>
      </c>
      <c r="F37" s="4"/>
      <c r="G37" s="4"/>
      <c r="Q37" s="4">
        <f>77000*15</f>
        <v>1155000</v>
      </c>
      <c r="R37" s="51" t="s">
        <v>82</v>
      </c>
    </row>
    <row r="38" spans="1:33" ht="24.95" customHeight="1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49"/>
      <c r="N38" s="49"/>
      <c r="Q38" s="50">
        <f>Q37/10000</f>
        <v>115.5</v>
      </c>
      <c r="R38" s="4"/>
    </row>
    <row r="39" spans="1:33" ht="24.95" customHeight="1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48"/>
      <c r="N39" s="48"/>
    </row>
    <row r="40" spans="1:33" ht="24.9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48"/>
      <c r="N40" s="48"/>
    </row>
    <row r="41" spans="1:33" ht="24.9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48"/>
      <c r="N41" s="48"/>
    </row>
    <row r="42" spans="1:33" ht="24.95" customHeight="1">
      <c r="A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33" ht="24.95" customHeight="1">
      <c r="A43" s="3"/>
      <c r="F43" s="4"/>
      <c r="G43" s="4"/>
    </row>
    <row r="44" spans="1:33" ht="24.95" customHeight="1">
      <c r="F44" s="4"/>
      <c r="G44" s="4"/>
    </row>
    <row r="45" spans="1:33">
      <c r="F45" s="4"/>
      <c r="G45" s="4"/>
    </row>
    <row r="46" spans="1:33">
      <c r="C46" s="8"/>
      <c r="D46" s="8"/>
      <c r="F46" s="4"/>
      <c r="G46" s="4"/>
    </row>
    <row r="47" spans="1:33">
      <c r="F47" s="4"/>
      <c r="G47" s="4"/>
    </row>
    <row r="48" spans="1:33">
      <c r="F48" s="4"/>
      <c r="G48" s="4"/>
    </row>
    <row r="49" spans="6:7">
      <c r="F49" s="4"/>
      <c r="G49" s="4"/>
    </row>
  </sheetData>
  <mergeCells count="21">
    <mergeCell ref="A39:L39"/>
    <mergeCell ref="A9:L9"/>
    <mergeCell ref="A25:A26"/>
    <mergeCell ref="I17:I18"/>
    <mergeCell ref="J17:J18"/>
    <mergeCell ref="A38:L38"/>
    <mergeCell ref="A35:J35"/>
    <mergeCell ref="L17:L18"/>
    <mergeCell ref="A20:A21"/>
    <mergeCell ref="E17:E18"/>
    <mergeCell ref="F17:F18"/>
    <mergeCell ref="B17:B18"/>
    <mergeCell ref="A2:L3"/>
    <mergeCell ref="A11:A14"/>
    <mergeCell ref="H17:H18"/>
    <mergeCell ref="D17:D18"/>
    <mergeCell ref="F5:L5"/>
    <mergeCell ref="G17:G18"/>
    <mergeCell ref="F6:L6"/>
    <mergeCell ref="K17:K18"/>
    <mergeCell ref="F7:L7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0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65"/>
  <sheetViews>
    <sheetView view="pageBreakPreview" topLeftCell="A40" zoomScale="90" zoomScaleNormal="80" zoomScaleSheetLayoutView="90" workbookViewId="0">
      <selection activeCell="A54" sqref="A54:L54"/>
    </sheetView>
  </sheetViews>
  <sheetFormatPr defaultRowHeight="12.75"/>
  <cols>
    <col min="1" max="1" width="3.85546875" customWidth="1"/>
    <col min="2" max="2" width="9.28515625" style="2" customWidth="1"/>
    <col min="3" max="3" width="36.85546875" customWidth="1"/>
    <col min="4" max="4" width="14" customWidth="1"/>
    <col min="5" max="5" width="10.28515625" customWidth="1"/>
    <col min="6" max="6" width="8.42578125" customWidth="1"/>
    <col min="7" max="7" width="12.5703125" customWidth="1"/>
    <col min="8" max="8" width="12.140625" customWidth="1"/>
    <col min="9" max="9" width="7.140625" customWidth="1"/>
    <col min="10" max="10" width="14.85546875" customWidth="1"/>
    <col min="11" max="11" width="13.85546875" customWidth="1"/>
    <col min="12" max="12" width="13.28515625" customWidth="1"/>
    <col min="13" max="13" width="9.42578125" customWidth="1"/>
    <col min="14" max="14" width="8.7109375" customWidth="1"/>
    <col min="15" max="16" width="13" customWidth="1"/>
    <col min="17" max="17" width="13.28515625" customWidth="1"/>
    <col min="18" max="18" width="12.5703125" customWidth="1"/>
    <col min="19" max="19" width="9" customWidth="1"/>
    <col min="20" max="20" width="7.85546875" customWidth="1"/>
    <col min="21" max="22" width="12.5703125" customWidth="1"/>
    <col min="23" max="23" width="8.28515625" customWidth="1"/>
    <col min="24" max="24" width="10" customWidth="1"/>
  </cols>
  <sheetData>
    <row r="2" spans="1:33">
      <c r="A2" s="134" t="s">
        <v>92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33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5" spans="1:33">
      <c r="F5" s="141" t="s">
        <v>5</v>
      </c>
      <c r="G5" s="141"/>
      <c r="H5" s="141"/>
      <c r="I5" s="141"/>
      <c r="J5" s="141"/>
      <c r="K5" s="141"/>
      <c r="L5" s="141"/>
      <c r="M5" s="7"/>
      <c r="N5" s="7"/>
      <c r="O5" s="7"/>
      <c r="P5" s="7"/>
      <c r="Q5" s="7"/>
      <c r="R5" s="7"/>
    </row>
    <row r="6" spans="1:33">
      <c r="F6" s="141" t="s">
        <v>24</v>
      </c>
      <c r="G6" s="141"/>
      <c r="H6" s="141"/>
      <c r="I6" s="141"/>
      <c r="J6" s="141"/>
      <c r="K6" s="141"/>
      <c r="L6" s="141"/>
      <c r="M6" s="7"/>
      <c r="N6" s="7"/>
      <c r="O6" s="7"/>
      <c r="P6" s="7"/>
      <c r="Q6" s="7"/>
      <c r="R6" s="7"/>
    </row>
    <row r="7" spans="1:33">
      <c r="F7" s="141" t="s">
        <v>91</v>
      </c>
      <c r="G7" s="141"/>
      <c r="H7" s="141"/>
      <c r="I7" s="141"/>
      <c r="J7" s="141"/>
      <c r="K7" s="141"/>
      <c r="L7" s="141"/>
      <c r="M7" s="7"/>
      <c r="N7" s="7"/>
      <c r="O7" s="24"/>
      <c r="P7" s="24"/>
      <c r="Q7" s="24"/>
      <c r="R7" s="24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spans="1:33">
      <c r="F8" s="7"/>
      <c r="G8" s="7"/>
      <c r="H8" s="7"/>
      <c r="I8" s="7"/>
      <c r="J8" s="7"/>
      <c r="K8" s="7"/>
      <c r="L8" s="7"/>
      <c r="M8" s="7"/>
      <c r="N8" s="7"/>
      <c r="O8" s="24"/>
      <c r="P8" s="24"/>
      <c r="Q8" s="24"/>
      <c r="R8" s="24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spans="1:33" ht="39" customHeight="1">
      <c r="A9" s="145" t="s">
        <v>90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52"/>
      <c r="N9" s="52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3" ht="36">
      <c r="A10" s="65" t="s">
        <v>0</v>
      </c>
      <c r="B10" s="67" t="s">
        <v>1</v>
      </c>
      <c r="C10" s="63" t="s">
        <v>16</v>
      </c>
      <c r="D10" s="63" t="s">
        <v>17</v>
      </c>
      <c r="E10" s="63" t="s">
        <v>6</v>
      </c>
      <c r="F10" s="63" t="s">
        <v>7</v>
      </c>
      <c r="G10" s="63" t="s">
        <v>18</v>
      </c>
      <c r="H10" s="63" t="s">
        <v>15</v>
      </c>
      <c r="I10" s="63" t="s">
        <v>2</v>
      </c>
      <c r="J10" s="63" t="s">
        <v>8</v>
      </c>
      <c r="K10" s="63" t="s">
        <v>4</v>
      </c>
      <c r="L10" s="11" t="s">
        <v>3</v>
      </c>
      <c r="M10" s="53" t="s">
        <v>84</v>
      </c>
      <c r="N10" s="53" t="s">
        <v>85</v>
      </c>
      <c r="O10" s="34" t="s">
        <v>86</v>
      </c>
      <c r="P10" s="34" t="s">
        <v>87</v>
      </c>
      <c r="Q10" s="41" t="s">
        <v>78</v>
      </c>
      <c r="R10" s="41" t="s">
        <v>79</v>
      </c>
      <c r="S10" s="21"/>
      <c r="T10" s="21"/>
      <c r="U10" s="21"/>
      <c r="V10" s="26"/>
      <c r="W10" s="21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116.25" customHeight="1">
      <c r="A11" s="160">
        <v>1</v>
      </c>
      <c r="B11" s="67" t="s">
        <v>25</v>
      </c>
      <c r="C11" s="68" t="s">
        <v>63</v>
      </c>
      <c r="D11" s="69">
        <f>F11*144</f>
        <v>5040</v>
      </c>
      <c r="E11" s="63" t="s">
        <v>26</v>
      </c>
      <c r="F11" s="37">
        <v>35</v>
      </c>
      <c r="G11" s="70">
        <v>2.4</v>
      </c>
      <c r="H11" s="64">
        <f>G11*144</f>
        <v>345.59999999999997</v>
      </c>
      <c r="I11" s="65">
        <v>8</v>
      </c>
      <c r="J11" s="64">
        <f t="shared" ref="J11:J50" si="0">H11+ROUND(H11*I11/100,2)</f>
        <v>373.24999999999994</v>
      </c>
      <c r="K11" s="64">
        <f t="shared" ref="K11:K50" si="1">F11*H11</f>
        <v>12095.999999999998</v>
      </c>
      <c r="L11" s="14">
        <f t="shared" ref="L11:L50" si="2">F11*J11</f>
        <v>13063.749999999998</v>
      </c>
      <c r="M11" s="54">
        <v>84</v>
      </c>
      <c r="N11" s="54">
        <v>4.25</v>
      </c>
      <c r="O11" s="19">
        <f>M11*N11</f>
        <v>357</v>
      </c>
      <c r="P11" s="19">
        <f>F11*O11</f>
        <v>12495</v>
      </c>
      <c r="Q11" s="42">
        <f>D11</f>
        <v>5040</v>
      </c>
      <c r="R11" s="42"/>
      <c r="S11" s="27"/>
      <c r="T11" s="22"/>
      <c r="U11" s="22"/>
      <c r="V11" s="22"/>
      <c r="W11" s="22"/>
      <c r="X11" s="25"/>
      <c r="Y11" s="25"/>
      <c r="Z11" s="25"/>
      <c r="AA11" s="25"/>
      <c r="AB11" s="25"/>
      <c r="AC11" s="28"/>
      <c r="AD11" s="22"/>
      <c r="AE11" s="25"/>
      <c r="AF11" s="25"/>
      <c r="AG11" s="25"/>
    </row>
    <row r="12" spans="1:33" ht="39.75" customHeight="1">
      <c r="A12" s="170"/>
      <c r="B12" s="67" t="s">
        <v>59</v>
      </c>
      <c r="C12" s="68" t="s">
        <v>58</v>
      </c>
      <c r="D12" s="69" t="s">
        <v>88</v>
      </c>
      <c r="E12" s="63" t="s">
        <v>76</v>
      </c>
      <c r="F12" s="37">
        <f>(7*3)+(6*2)</f>
        <v>33</v>
      </c>
      <c r="G12" s="70">
        <v>0.47</v>
      </c>
      <c r="H12" s="64">
        <f>G12*200</f>
        <v>94</v>
      </c>
      <c r="I12" s="65">
        <v>8</v>
      </c>
      <c r="J12" s="64">
        <f t="shared" si="0"/>
        <v>101.52</v>
      </c>
      <c r="K12" s="64">
        <f t="shared" si="1"/>
        <v>3102</v>
      </c>
      <c r="L12" s="14">
        <f t="shared" si="2"/>
        <v>3350.16</v>
      </c>
      <c r="M12" s="54">
        <v>23</v>
      </c>
      <c r="N12" s="54">
        <v>4.25</v>
      </c>
      <c r="O12" s="19">
        <f t="shared" ref="O12:O49" si="3">M12*N12</f>
        <v>97.75</v>
      </c>
      <c r="P12" s="19">
        <f t="shared" ref="P12:P49" si="4">F12*O12</f>
        <v>3225.75</v>
      </c>
      <c r="Q12" s="42"/>
      <c r="R12" s="42"/>
      <c r="S12" s="27"/>
      <c r="T12" s="22"/>
      <c r="U12" s="22"/>
      <c r="V12" s="22"/>
      <c r="W12" s="22"/>
      <c r="X12" s="25"/>
      <c r="Y12" s="25"/>
      <c r="Z12" s="25"/>
      <c r="AA12" s="25"/>
      <c r="AB12" s="25"/>
      <c r="AC12" s="28"/>
      <c r="AD12" s="22"/>
      <c r="AE12" s="25"/>
      <c r="AF12" s="25"/>
      <c r="AG12" s="25"/>
    </row>
    <row r="13" spans="1:33" ht="60.75" customHeight="1">
      <c r="A13" s="170"/>
      <c r="B13" s="67" t="s">
        <v>10</v>
      </c>
      <c r="C13" s="68" t="s">
        <v>28</v>
      </c>
      <c r="D13" s="69">
        <f>F13*720</f>
        <v>5040</v>
      </c>
      <c r="E13" s="63" t="s">
        <v>27</v>
      </c>
      <c r="F13" s="37">
        <v>7</v>
      </c>
      <c r="G13" s="70">
        <v>7.6</v>
      </c>
      <c r="H13" s="64">
        <f>G13*720</f>
        <v>5472</v>
      </c>
      <c r="I13" s="65">
        <v>8</v>
      </c>
      <c r="J13" s="64">
        <f t="shared" si="0"/>
        <v>5909.76</v>
      </c>
      <c r="K13" s="64">
        <f t="shared" si="1"/>
        <v>38304</v>
      </c>
      <c r="L13" s="14">
        <f t="shared" si="2"/>
        <v>41368.32</v>
      </c>
      <c r="M13" s="54">
        <v>1477.4</v>
      </c>
      <c r="N13" s="54">
        <v>4.25</v>
      </c>
      <c r="O13" s="19">
        <f t="shared" si="3"/>
        <v>6278.9500000000007</v>
      </c>
      <c r="P13" s="19">
        <f t="shared" si="4"/>
        <v>43952.650000000009</v>
      </c>
      <c r="Q13" s="42"/>
      <c r="R13" s="42">
        <f>D13*0.5</f>
        <v>2520</v>
      </c>
      <c r="S13" s="27"/>
      <c r="T13" s="22"/>
      <c r="U13" s="22"/>
      <c r="V13" s="22"/>
      <c r="W13" s="22"/>
      <c r="X13" s="25"/>
      <c r="Y13" s="25"/>
      <c r="Z13" s="25"/>
      <c r="AA13" s="25"/>
      <c r="AB13" s="25"/>
      <c r="AC13" s="28"/>
      <c r="AD13" s="22"/>
      <c r="AE13" s="25"/>
      <c r="AF13" s="25"/>
      <c r="AG13" s="25"/>
    </row>
    <row r="14" spans="1:33" ht="40.5" customHeight="1">
      <c r="A14" s="161"/>
      <c r="B14" s="67" t="s">
        <v>11</v>
      </c>
      <c r="C14" s="68" t="s">
        <v>60</v>
      </c>
      <c r="D14" s="69" t="s">
        <v>88</v>
      </c>
      <c r="E14" s="63" t="s">
        <v>76</v>
      </c>
      <c r="F14" s="37">
        <f>(7*3)+(6*2)</f>
        <v>33</v>
      </c>
      <c r="G14" s="70">
        <f>0.47</f>
        <v>0.47</v>
      </c>
      <c r="H14" s="64">
        <f>G14*200</f>
        <v>94</v>
      </c>
      <c r="I14" s="65">
        <v>8</v>
      </c>
      <c r="J14" s="64">
        <f t="shared" si="0"/>
        <v>101.52</v>
      </c>
      <c r="K14" s="64">
        <f t="shared" si="1"/>
        <v>3102</v>
      </c>
      <c r="L14" s="14">
        <f t="shared" si="2"/>
        <v>3350.16</v>
      </c>
      <c r="M14" s="54">
        <v>23</v>
      </c>
      <c r="N14" s="54">
        <v>4.25</v>
      </c>
      <c r="O14" s="19">
        <f t="shared" si="3"/>
        <v>97.75</v>
      </c>
      <c r="P14" s="19">
        <f t="shared" si="4"/>
        <v>3225.75</v>
      </c>
      <c r="Q14" s="42"/>
      <c r="R14" s="42"/>
      <c r="S14" s="27"/>
      <c r="T14" s="22"/>
      <c r="U14" s="22"/>
      <c r="V14" s="22"/>
      <c r="W14" s="22"/>
      <c r="X14" s="25"/>
      <c r="Y14" s="25"/>
      <c r="Z14" s="25"/>
      <c r="AA14" s="25"/>
      <c r="AB14" s="25"/>
      <c r="AC14" s="28"/>
      <c r="AD14" s="22"/>
      <c r="AE14" s="25"/>
      <c r="AF14" s="25"/>
      <c r="AG14" s="25"/>
    </row>
    <row r="15" spans="1:33" ht="61.5" customHeight="1">
      <c r="A15" s="65">
        <v>2</v>
      </c>
      <c r="B15" s="67" t="s">
        <v>30</v>
      </c>
      <c r="C15" s="68" t="s">
        <v>29</v>
      </c>
      <c r="D15" s="69">
        <f>F15*80</f>
        <v>1120</v>
      </c>
      <c r="E15" s="63" t="s">
        <v>31</v>
      </c>
      <c r="F15" s="37">
        <v>14</v>
      </c>
      <c r="G15" s="70">
        <v>1</v>
      </c>
      <c r="H15" s="64">
        <f>G15*100</f>
        <v>100</v>
      </c>
      <c r="I15" s="65">
        <v>8</v>
      </c>
      <c r="J15" s="64">
        <f t="shared" si="0"/>
        <v>108</v>
      </c>
      <c r="K15" s="64">
        <f t="shared" si="1"/>
        <v>1400</v>
      </c>
      <c r="L15" s="14">
        <f t="shared" si="2"/>
        <v>1512</v>
      </c>
      <c r="M15" s="54">
        <v>23.1</v>
      </c>
      <c r="N15" s="54">
        <v>4.25</v>
      </c>
      <c r="O15" s="19">
        <f t="shared" si="3"/>
        <v>98.175000000000011</v>
      </c>
      <c r="P15" s="19">
        <f t="shared" si="4"/>
        <v>1374.4500000000003</v>
      </c>
      <c r="Q15" s="42"/>
      <c r="R15" s="43">
        <f>D15</f>
        <v>1120</v>
      </c>
      <c r="S15" s="27"/>
      <c r="T15" s="22"/>
      <c r="U15" s="22"/>
      <c r="V15" s="22"/>
      <c r="W15" s="22"/>
      <c r="X15" s="25"/>
      <c r="Y15" s="25"/>
      <c r="Z15" s="25"/>
      <c r="AA15" s="25"/>
      <c r="AB15" s="25"/>
      <c r="AC15" s="28"/>
      <c r="AD15" s="22"/>
      <c r="AE15" s="25"/>
      <c r="AF15" s="25"/>
      <c r="AG15" s="25"/>
    </row>
    <row r="16" spans="1:33" ht="51.75" customHeight="1">
      <c r="A16" s="65">
        <v>3</v>
      </c>
      <c r="B16" s="71" t="s">
        <v>83</v>
      </c>
      <c r="C16" s="72" t="s">
        <v>61</v>
      </c>
      <c r="D16" s="73" t="s">
        <v>88</v>
      </c>
      <c r="E16" s="63" t="s">
        <v>77</v>
      </c>
      <c r="F16" s="37">
        <v>13</v>
      </c>
      <c r="G16" s="70">
        <v>0.33</v>
      </c>
      <c r="H16" s="64">
        <f>G16*600</f>
        <v>198</v>
      </c>
      <c r="I16" s="65">
        <v>8</v>
      </c>
      <c r="J16" s="64">
        <f t="shared" si="0"/>
        <v>213.84</v>
      </c>
      <c r="K16" s="64">
        <f t="shared" si="1"/>
        <v>2574</v>
      </c>
      <c r="L16" s="14">
        <f t="shared" si="2"/>
        <v>2779.92</v>
      </c>
      <c r="M16" s="54">
        <v>52.4</v>
      </c>
      <c r="N16" s="54">
        <v>4.25</v>
      </c>
      <c r="O16" s="19">
        <f t="shared" si="3"/>
        <v>222.7</v>
      </c>
      <c r="P16" s="19">
        <f t="shared" si="4"/>
        <v>2895.1</v>
      </c>
      <c r="Q16" s="42"/>
      <c r="R16" s="43"/>
      <c r="S16" s="27"/>
      <c r="T16" s="22"/>
      <c r="U16" s="22"/>
      <c r="V16" s="22"/>
      <c r="W16" s="22"/>
      <c r="X16" s="25"/>
      <c r="Y16" s="25"/>
      <c r="Z16" s="25"/>
      <c r="AA16" s="25"/>
      <c r="AB16" s="25"/>
      <c r="AC16" s="28"/>
      <c r="AD16" s="22"/>
      <c r="AE16" s="25"/>
      <c r="AF16" s="25"/>
      <c r="AG16" s="25"/>
    </row>
    <row r="17" spans="1:33" ht="47.25" customHeight="1">
      <c r="A17" s="65">
        <v>4</v>
      </c>
      <c r="B17" s="168" t="s">
        <v>35</v>
      </c>
      <c r="C17" s="72" t="s">
        <v>33</v>
      </c>
      <c r="D17" s="173" t="s">
        <v>93</v>
      </c>
      <c r="E17" s="171" t="s">
        <v>32</v>
      </c>
      <c r="F17" s="156">
        <v>4</v>
      </c>
      <c r="G17" s="174">
        <v>2.0499999999999998</v>
      </c>
      <c r="H17" s="162">
        <f>G17*6*288</f>
        <v>3542.3999999999996</v>
      </c>
      <c r="I17" s="160">
        <v>8</v>
      </c>
      <c r="J17" s="162">
        <f t="shared" si="0"/>
        <v>3825.7899999999995</v>
      </c>
      <c r="K17" s="162">
        <f t="shared" si="1"/>
        <v>14169.599999999999</v>
      </c>
      <c r="L17" s="148">
        <f t="shared" si="2"/>
        <v>15303.159999999998</v>
      </c>
      <c r="M17" s="54">
        <v>950</v>
      </c>
      <c r="N17" s="54">
        <v>4.25</v>
      </c>
      <c r="O17" s="19">
        <f t="shared" si="3"/>
        <v>4037.5</v>
      </c>
      <c r="P17" s="19">
        <f t="shared" si="4"/>
        <v>16150</v>
      </c>
      <c r="Q17" s="42"/>
      <c r="R17" s="43"/>
      <c r="S17" s="27"/>
      <c r="T17" s="22"/>
      <c r="U17" s="22"/>
      <c r="V17" s="22"/>
      <c r="W17" s="22"/>
      <c r="X17" s="25"/>
      <c r="Y17" s="25"/>
      <c r="Z17" s="25"/>
      <c r="AA17" s="25"/>
      <c r="AB17" s="25"/>
      <c r="AC17" s="28"/>
      <c r="AD17" s="22"/>
      <c r="AE17" s="25"/>
      <c r="AF17" s="25"/>
      <c r="AG17" s="25"/>
    </row>
    <row r="18" spans="1:33" ht="36.75" customHeight="1">
      <c r="A18" s="65">
        <v>5</v>
      </c>
      <c r="B18" s="169"/>
      <c r="C18" s="72" t="s">
        <v>34</v>
      </c>
      <c r="D18" s="173"/>
      <c r="E18" s="172"/>
      <c r="F18" s="157"/>
      <c r="G18" s="175"/>
      <c r="H18" s="163"/>
      <c r="I18" s="161"/>
      <c r="J18" s="163"/>
      <c r="K18" s="163"/>
      <c r="L18" s="149"/>
      <c r="M18" s="54"/>
      <c r="N18" s="54">
        <v>4.25</v>
      </c>
      <c r="O18" s="19">
        <f t="shared" si="3"/>
        <v>0</v>
      </c>
      <c r="P18" s="19">
        <f t="shared" si="4"/>
        <v>0</v>
      </c>
      <c r="Q18" s="42"/>
      <c r="R18" s="43">
        <v>20</v>
      </c>
      <c r="S18" s="27"/>
      <c r="T18" s="22"/>
      <c r="U18" s="22"/>
      <c r="V18" s="22"/>
      <c r="W18" s="22"/>
      <c r="X18" s="25"/>
      <c r="Y18" s="25"/>
      <c r="Z18" s="25"/>
      <c r="AA18" s="25"/>
      <c r="AB18" s="25"/>
      <c r="AC18" s="28"/>
      <c r="AD18" s="22"/>
      <c r="AE18" s="25"/>
      <c r="AF18" s="25"/>
      <c r="AG18" s="25"/>
    </row>
    <row r="19" spans="1:33" ht="94.5" customHeight="1">
      <c r="A19" s="65">
        <v>6</v>
      </c>
      <c r="B19" s="67" t="s">
        <v>36</v>
      </c>
      <c r="C19" s="72" t="s">
        <v>64</v>
      </c>
      <c r="D19" s="74">
        <f>F19*288</f>
        <v>30240</v>
      </c>
      <c r="E19" s="63" t="s">
        <v>37</v>
      </c>
      <c r="F19" s="37">
        <v>105</v>
      </c>
      <c r="G19" s="70">
        <v>1.35</v>
      </c>
      <c r="H19" s="64">
        <f>G19*288</f>
        <v>388.8</v>
      </c>
      <c r="I19" s="65">
        <v>8</v>
      </c>
      <c r="J19" s="64">
        <f t="shared" si="0"/>
        <v>419.90000000000003</v>
      </c>
      <c r="K19" s="64">
        <f t="shared" si="1"/>
        <v>40824</v>
      </c>
      <c r="L19" s="14">
        <f t="shared" si="2"/>
        <v>44089.5</v>
      </c>
      <c r="M19" s="54">
        <v>88</v>
      </c>
      <c r="N19" s="54">
        <v>4.25</v>
      </c>
      <c r="O19" s="19">
        <f t="shared" si="3"/>
        <v>374</v>
      </c>
      <c r="P19" s="19">
        <f t="shared" si="4"/>
        <v>39270</v>
      </c>
      <c r="Q19" s="42">
        <f>D19</f>
        <v>30240</v>
      </c>
      <c r="R19" s="43"/>
      <c r="S19" s="27"/>
      <c r="T19" s="22"/>
      <c r="U19" s="22"/>
      <c r="V19" s="22"/>
      <c r="W19" s="22"/>
      <c r="X19" s="25"/>
      <c r="Y19" s="25"/>
      <c r="Z19" s="25"/>
      <c r="AA19" s="25"/>
      <c r="AB19" s="25"/>
      <c r="AC19" s="28"/>
      <c r="AD19" s="22"/>
      <c r="AE19" s="25"/>
      <c r="AF19" s="25"/>
      <c r="AG19" s="25"/>
    </row>
    <row r="20" spans="1:33" ht="104.25" customHeight="1">
      <c r="A20" s="160">
        <v>7</v>
      </c>
      <c r="B20" s="67" t="s">
        <v>38</v>
      </c>
      <c r="C20" s="72" t="s">
        <v>65</v>
      </c>
      <c r="D20" s="74">
        <f>F20*192</f>
        <v>11136</v>
      </c>
      <c r="E20" s="63" t="s">
        <v>39</v>
      </c>
      <c r="F20" s="37">
        <v>58</v>
      </c>
      <c r="G20" s="70">
        <v>8.9499999999999993</v>
      </c>
      <c r="H20" s="64">
        <f>G20*192</f>
        <v>1718.3999999999999</v>
      </c>
      <c r="I20" s="65">
        <v>8</v>
      </c>
      <c r="J20" s="64">
        <f t="shared" si="0"/>
        <v>1855.87</v>
      </c>
      <c r="K20" s="64">
        <f t="shared" si="1"/>
        <v>99667.199999999997</v>
      </c>
      <c r="L20" s="14">
        <f t="shared" si="2"/>
        <v>107640.45999999999</v>
      </c>
      <c r="M20" s="54">
        <v>396</v>
      </c>
      <c r="N20" s="54">
        <v>4.25</v>
      </c>
      <c r="O20" s="19">
        <f t="shared" si="3"/>
        <v>1683</v>
      </c>
      <c r="P20" s="19">
        <f t="shared" si="4"/>
        <v>97614</v>
      </c>
      <c r="Q20" s="42">
        <f>D20/2</f>
        <v>5568</v>
      </c>
      <c r="R20" s="58" t="s">
        <v>95</v>
      </c>
      <c r="S20" s="27"/>
      <c r="T20" s="22"/>
      <c r="U20" s="22"/>
      <c r="V20" s="22"/>
      <c r="W20" s="22"/>
      <c r="X20" s="25"/>
      <c r="Y20" s="25"/>
      <c r="Z20" s="25"/>
      <c r="AA20" s="25"/>
      <c r="AB20" s="25"/>
      <c r="AC20" s="28"/>
      <c r="AD20" s="22"/>
      <c r="AE20" s="25"/>
      <c r="AF20" s="25"/>
      <c r="AG20" s="25"/>
    </row>
    <row r="21" spans="1:33" ht="36" customHeight="1">
      <c r="A21" s="161"/>
      <c r="B21" s="67" t="s">
        <v>42</v>
      </c>
      <c r="C21" s="68" t="s">
        <v>41</v>
      </c>
      <c r="D21" s="74">
        <f>F21*72</f>
        <v>4032</v>
      </c>
      <c r="E21" s="63" t="s">
        <v>40</v>
      </c>
      <c r="F21" s="37">
        <v>56</v>
      </c>
      <c r="G21" s="70">
        <v>2.4500000000000002</v>
      </c>
      <c r="H21" s="64">
        <f>G21*72</f>
        <v>176.4</v>
      </c>
      <c r="I21" s="65">
        <v>8</v>
      </c>
      <c r="J21" s="64">
        <f t="shared" si="0"/>
        <v>190.51</v>
      </c>
      <c r="K21" s="64">
        <f t="shared" si="1"/>
        <v>9878.4</v>
      </c>
      <c r="L21" s="14">
        <f t="shared" si="2"/>
        <v>10668.56</v>
      </c>
      <c r="M21" s="54">
        <v>44.1</v>
      </c>
      <c r="N21" s="54">
        <v>4.25</v>
      </c>
      <c r="O21" s="19">
        <f t="shared" si="3"/>
        <v>187.42500000000001</v>
      </c>
      <c r="P21" s="19">
        <f t="shared" si="4"/>
        <v>10495.800000000001</v>
      </c>
      <c r="Q21" s="45"/>
      <c r="R21" s="58" t="s">
        <v>96</v>
      </c>
      <c r="S21" s="27"/>
      <c r="T21" s="22"/>
      <c r="U21" s="22"/>
      <c r="V21" s="22"/>
      <c r="W21" s="22"/>
      <c r="X21" s="25"/>
      <c r="Y21" s="25"/>
      <c r="Z21" s="25"/>
      <c r="AA21" s="25"/>
      <c r="AB21" s="25"/>
      <c r="AC21" s="28"/>
      <c r="AD21" s="22"/>
      <c r="AE21" s="25"/>
      <c r="AF21" s="25"/>
      <c r="AG21" s="25"/>
    </row>
    <row r="22" spans="1:33" ht="54" customHeight="1">
      <c r="A22" s="65">
        <v>8</v>
      </c>
      <c r="B22" s="67" t="s">
        <v>43</v>
      </c>
      <c r="C22" s="68" t="s">
        <v>62</v>
      </c>
      <c r="D22" s="74">
        <f>F22*72</f>
        <v>504</v>
      </c>
      <c r="E22" s="63" t="s">
        <v>40</v>
      </c>
      <c r="F22" s="37">
        <v>7</v>
      </c>
      <c r="G22" s="70">
        <v>5.4</v>
      </c>
      <c r="H22" s="64">
        <f>G22*72</f>
        <v>388.8</v>
      </c>
      <c r="I22" s="65">
        <v>8</v>
      </c>
      <c r="J22" s="64">
        <f t="shared" si="0"/>
        <v>419.90000000000003</v>
      </c>
      <c r="K22" s="64">
        <f t="shared" si="1"/>
        <v>2721.6</v>
      </c>
      <c r="L22" s="14">
        <f t="shared" si="2"/>
        <v>2939.3</v>
      </c>
      <c r="M22" s="54">
        <v>90.3</v>
      </c>
      <c r="N22" s="54">
        <v>4.25</v>
      </c>
      <c r="O22" s="19">
        <f t="shared" si="3"/>
        <v>383.77499999999998</v>
      </c>
      <c r="P22" s="19">
        <f t="shared" si="4"/>
        <v>2686.4249999999997</v>
      </c>
      <c r="Q22" s="42">
        <f t="shared" ref="Q22:Q27" si="5">D22*0.5</f>
        <v>252</v>
      </c>
      <c r="R22" s="43"/>
      <c r="S22" s="27"/>
      <c r="T22" s="22"/>
      <c r="U22" s="22"/>
      <c r="V22" s="22"/>
      <c r="W22" s="22"/>
      <c r="X22" s="25"/>
      <c r="Y22" s="25"/>
      <c r="Z22" s="25"/>
      <c r="AA22" s="25"/>
      <c r="AB22" s="25"/>
      <c r="AC22" s="28"/>
      <c r="AD22" s="22"/>
      <c r="AE22" s="25"/>
      <c r="AF22" s="25"/>
      <c r="AG22" s="25"/>
    </row>
    <row r="23" spans="1:33" ht="73.5" customHeight="1">
      <c r="A23" s="65">
        <v>9</v>
      </c>
      <c r="B23" s="67"/>
      <c r="C23" s="75" t="s">
        <v>135</v>
      </c>
      <c r="D23" s="74"/>
      <c r="E23" s="63"/>
      <c r="F23" s="37"/>
      <c r="G23" s="70"/>
      <c r="H23" s="64"/>
      <c r="I23" s="65"/>
      <c r="J23" s="64"/>
      <c r="K23" s="64"/>
      <c r="L23" s="14"/>
      <c r="M23" s="54">
        <v>102.3</v>
      </c>
      <c r="N23" s="54">
        <v>4.25</v>
      </c>
      <c r="O23" s="19">
        <f t="shared" si="3"/>
        <v>434.77499999999998</v>
      </c>
      <c r="P23" s="19">
        <f t="shared" si="4"/>
        <v>0</v>
      </c>
      <c r="Q23" s="42">
        <f t="shared" si="5"/>
        <v>0</v>
      </c>
      <c r="R23" s="43"/>
      <c r="S23" s="27"/>
      <c r="T23" s="22"/>
      <c r="U23" s="22"/>
      <c r="V23" s="22"/>
      <c r="W23" s="22"/>
      <c r="X23" s="25"/>
      <c r="Y23" s="25"/>
      <c r="Z23" s="25"/>
      <c r="AA23" s="25"/>
      <c r="AB23" s="25"/>
      <c r="AC23" s="28"/>
      <c r="AD23" s="22"/>
      <c r="AE23" s="25"/>
      <c r="AF23" s="25"/>
      <c r="AG23" s="25"/>
    </row>
    <row r="24" spans="1:33" ht="24.75" customHeight="1">
      <c r="A24" s="65"/>
      <c r="B24" s="67" t="s">
        <v>121</v>
      </c>
      <c r="C24" s="76" t="s">
        <v>97</v>
      </c>
      <c r="D24" s="74">
        <f>F24*72</f>
        <v>4968</v>
      </c>
      <c r="E24" s="63"/>
      <c r="F24" s="37">
        <v>69</v>
      </c>
      <c r="G24" s="70">
        <v>6.2</v>
      </c>
      <c r="H24" s="64">
        <f t="shared" ref="H24:H29" si="6">G24*72</f>
        <v>446.40000000000003</v>
      </c>
      <c r="I24" s="65">
        <v>8</v>
      </c>
      <c r="J24" s="64">
        <f t="shared" si="0"/>
        <v>482.11</v>
      </c>
      <c r="K24" s="64">
        <f t="shared" si="1"/>
        <v>30801.600000000002</v>
      </c>
      <c r="L24" s="14">
        <f t="shared" si="2"/>
        <v>33265.590000000004</v>
      </c>
      <c r="M24" s="54">
        <v>104.5</v>
      </c>
      <c r="N24" s="54">
        <v>4.25</v>
      </c>
      <c r="O24" s="19">
        <f t="shared" si="3"/>
        <v>444.125</v>
      </c>
      <c r="P24" s="19">
        <f t="shared" si="4"/>
        <v>30644.625</v>
      </c>
      <c r="Q24" s="42">
        <f t="shared" si="5"/>
        <v>2484</v>
      </c>
      <c r="R24" s="43"/>
      <c r="S24" s="27"/>
      <c r="T24" s="22"/>
      <c r="U24" s="22"/>
      <c r="V24" s="22"/>
      <c r="W24" s="22"/>
      <c r="X24" s="25"/>
      <c r="Y24" s="25"/>
      <c r="Z24" s="25"/>
      <c r="AA24" s="25"/>
      <c r="AB24" s="25"/>
      <c r="AC24" s="28"/>
      <c r="AD24" s="22"/>
      <c r="AE24" s="25"/>
      <c r="AF24" s="25"/>
      <c r="AG24" s="25"/>
    </row>
    <row r="25" spans="1:33" ht="24.75" customHeight="1">
      <c r="A25" s="65"/>
      <c r="B25" s="67" t="s">
        <v>122</v>
      </c>
      <c r="C25" s="76" t="s">
        <v>98</v>
      </c>
      <c r="D25" s="74">
        <f t="shared" ref="D25:D36" si="7">F25*72</f>
        <v>4968</v>
      </c>
      <c r="E25" s="63"/>
      <c r="F25" s="37">
        <v>69</v>
      </c>
      <c r="G25" s="70">
        <v>7.15</v>
      </c>
      <c r="H25" s="64">
        <f t="shared" si="6"/>
        <v>514.80000000000007</v>
      </c>
      <c r="I25" s="65">
        <v>8</v>
      </c>
      <c r="J25" s="64">
        <f t="shared" si="0"/>
        <v>555.98</v>
      </c>
      <c r="K25" s="64">
        <f t="shared" si="1"/>
        <v>35521.200000000004</v>
      </c>
      <c r="L25" s="14">
        <f t="shared" si="2"/>
        <v>38362.620000000003</v>
      </c>
      <c r="M25" s="54">
        <v>120.8</v>
      </c>
      <c r="N25" s="54">
        <v>4.25</v>
      </c>
      <c r="O25" s="19">
        <f t="shared" si="3"/>
        <v>513.4</v>
      </c>
      <c r="P25" s="19">
        <f t="shared" si="4"/>
        <v>35424.6</v>
      </c>
      <c r="Q25" s="42">
        <f t="shared" si="5"/>
        <v>2484</v>
      </c>
      <c r="R25" s="43"/>
      <c r="S25" s="27"/>
      <c r="T25" s="22"/>
      <c r="U25" s="22"/>
      <c r="V25" s="22"/>
      <c r="W25" s="22"/>
      <c r="X25" s="25"/>
      <c r="Y25" s="25"/>
      <c r="Z25" s="25"/>
      <c r="AA25" s="25"/>
      <c r="AB25" s="25"/>
      <c r="AC25" s="28"/>
      <c r="AD25" s="22"/>
      <c r="AE25" s="25"/>
      <c r="AF25" s="25"/>
      <c r="AG25" s="25"/>
    </row>
    <row r="26" spans="1:33" ht="24.75" customHeight="1">
      <c r="A26" s="65"/>
      <c r="B26" s="67" t="s">
        <v>119</v>
      </c>
      <c r="C26" s="76" t="s">
        <v>99</v>
      </c>
      <c r="D26" s="74">
        <f t="shared" si="7"/>
        <v>4968</v>
      </c>
      <c r="E26" s="63"/>
      <c r="F26" s="37">
        <v>69</v>
      </c>
      <c r="G26" s="70">
        <v>6.6</v>
      </c>
      <c r="H26" s="64">
        <f t="shared" si="6"/>
        <v>475.2</v>
      </c>
      <c r="I26" s="65">
        <v>8</v>
      </c>
      <c r="J26" s="64">
        <f t="shared" si="0"/>
        <v>513.22</v>
      </c>
      <c r="K26" s="64">
        <f t="shared" si="1"/>
        <v>32788.799999999996</v>
      </c>
      <c r="L26" s="14">
        <f t="shared" si="2"/>
        <v>35412.18</v>
      </c>
      <c r="M26" s="54">
        <v>112.2</v>
      </c>
      <c r="N26" s="54">
        <v>4.25</v>
      </c>
      <c r="O26" s="19">
        <f t="shared" si="3"/>
        <v>476.85</v>
      </c>
      <c r="P26" s="19">
        <f t="shared" si="4"/>
        <v>32902.65</v>
      </c>
      <c r="Q26" s="42">
        <f t="shared" si="5"/>
        <v>2484</v>
      </c>
      <c r="R26" s="43"/>
      <c r="S26" s="27"/>
      <c r="T26" s="22"/>
      <c r="U26" s="22"/>
      <c r="V26" s="22"/>
      <c r="W26" s="22"/>
      <c r="X26" s="25"/>
      <c r="Y26" s="25"/>
      <c r="Z26" s="25"/>
      <c r="AA26" s="25"/>
      <c r="AB26" s="25"/>
      <c r="AC26" s="28"/>
      <c r="AD26" s="22"/>
      <c r="AE26" s="25"/>
      <c r="AF26" s="25"/>
      <c r="AG26" s="25"/>
    </row>
    <row r="27" spans="1:33" ht="24.75" customHeight="1">
      <c r="A27" s="65"/>
      <c r="B27" s="67" t="s">
        <v>120</v>
      </c>
      <c r="C27" s="76" t="s">
        <v>100</v>
      </c>
      <c r="D27" s="74">
        <f t="shared" si="7"/>
        <v>4968</v>
      </c>
      <c r="E27" s="63"/>
      <c r="F27" s="37">
        <v>69</v>
      </c>
      <c r="G27" s="70">
        <f>G26</f>
        <v>6.6</v>
      </c>
      <c r="H27" s="64">
        <f t="shared" si="6"/>
        <v>475.2</v>
      </c>
      <c r="I27" s="65">
        <v>8</v>
      </c>
      <c r="J27" s="64">
        <f t="shared" si="0"/>
        <v>513.22</v>
      </c>
      <c r="K27" s="64">
        <f t="shared" si="1"/>
        <v>32788.799999999996</v>
      </c>
      <c r="L27" s="14">
        <f t="shared" si="2"/>
        <v>35412.18</v>
      </c>
      <c r="M27" s="54">
        <v>112.2</v>
      </c>
      <c r="N27" s="54">
        <v>4.25</v>
      </c>
      <c r="O27" s="19">
        <f t="shared" si="3"/>
        <v>476.85</v>
      </c>
      <c r="P27" s="19">
        <f t="shared" si="4"/>
        <v>32902.65</v>
      </c>
      <c r="Q27" s="42">
        <f t="shared" si="5"/>
        <v>2484</v>
      </c>
      <c r="R27" s="43"/>
      <c r="S27" s="27"/>
      <c r="T27" s="22"/>
      <c r="U27" s="22"/>
      <c r="V27" s="22"/>
      <c r="W27" s="22"/>
      <c r="X27" s="25"/>
      <c r="Y27" s="25"/>
      <c r="Z27" s="25"/>
      <c r="AA27" s="25"/>
      <c r="AB27" s="25"/>
      <c r="AC27" s="28"/>
      <c r="AD27" s="22"/>
      <c r="AE27" s="25"/>
      <c r="AF27" s="25"/>
      <c r="AG27" s="25"/>
    </row>
    <row r="28" spans="1:33" ht="24.75" customHeight="1">
      <c r="A28" s="65"/>
      <c r="B28" s="67" t="s">
        <v>115</v>
      </c>
      <c r="C28" s="77" t="s">
        <v>101</v>
      </c>
      <c r="D28" s="74">
        <f t="shared" si="7"/>
        <v>4968</v>
      </c>
      <c r="E28" s="63"/>
      <c r="F28" s="37">
        <v>69</v>
      </c>
      <c r="G28" s="70">
        <v>4.3</v>
      </c>
      <c r="H28" s="64">
        <f t="shared" si="6"/>
        <v>309.59999999999997</v>
      </c>
      <c r="I28" s="65">
        <v>8</v>
      </c>
      <c r="J28" s="64">
        <f t="shared" si="0"/>
        <v>334.36999999999995</v>
      </c>
      <c r="K28" s="64">
        <f t="shared" si="1"/>
        <v>21362.399999999998</v>
      </c>
      <c r="L28" s="14">
        <f t="shared" si="2"/>
        <v>23071.529999999995</v>
      </c>
      <c r="M28" s="54">
        <v>72.5</v>
      </c>
      <c r="N28" s="54">
        <v>4.25</v>
      </c>
      <c r="O28" s="19">
        <f t="shared" si="3"/>
        <v>308.125</v>
      </c>
      <c r="P28" s="19">
        <f t="shared" si="4"/>
        <v>21260.625</v>
      </c>
      <c r="Q28" s="42"/>
      <c r="R28" s="43">
        <f>D28*0.5</f>
        <v>2484</v>
      </c>
      <c r="S28" s="27"/>
      <c r="T28" s="22"/>
      <c r="U28" s="22"/>
      <c r="V28" s="22"/>
      <c r="W28" s="22"/>
      <c r="X28" s="25"/>
      <c r="Y28" s="25"/>
      <c r="Z28" s="25"/>
      <c r="AA28" s="25"/>
      <c r="AB28" s="25"/>
      <c r="AC28" s="28"/>
      <c r="AD28" s="22"/>
      <c r="AE28" s="25"/>
      <c r="AF28" s="25"/>
      <c r="AG28" s="25"/>
    </row>
    <row r="29" spans="1:33" ht="24.75" customHeight="1">
      <c r="A29" s="65"/>
      <c r="B29" s="67" t="s">
        <v>116</v>
      </c>
      <c r="C29" s="77" t="s">
        <v>102</v>
      </c>
      <c r="D29" s="74">
        <f t="shared" si="7"/>
        <v>4968</v>
      </c>
      <c r="E29" s="63"/>
      <c r="F29" s="37">
        <v>69</v>
      </c>
      <c r="G29" s="70">
        <f>G28</f>
        <v>4.3</v>
      </c>
      <c r="H29" s="64">
        <f t="shared" si="6"/>
        <v>309.59999999999997</v>
      </c>
      <c r="I29" s="65">
        <v>8</v>
      </c>
      <c r="J29" s="64">
        <f t="shared" si="0"/>
        <v>334.36999999999995</v>
      </c>
      <c r="K29" s="64">
        <f t="shared" si="1"/>
        <v>21362.399999999998</v>
      </c>
      <c r="L29" s="14">
        <f t="shared" si="2"/>
        <v>23071.529999999995</v>
      </c>
      <c r="M29" s="54">
        <v>72.5</v>
      </c>
      <c r="N29" s="54">
        <v>4.25</v>
      </c>
      <c r="O29" s="19">
        <f t="shared" si="3"/>
        <v>308.125</v>
      </c>
      <c r="P29" s="19">
        <f t="shared" si="4"/>
        <v>21260.625</v>
      </c>
      <c r="Q29" s="42"/>
      <c r="R29" s="43">
        <f>D29*0.5</f>
        <v>2484</v>
      </c>
      <c r="S29" s="27"/>
      <c r="T29" s="22"/>
      <c r="U29" s="22"/>
      <c r="V29" s="22"/>
      <c r="W29" s="22"/>
      <c r="X29" s="25"/>
      <c r="Y29" s="25"/>
      <c r="Z29" s="25"/>
      <c r="AA29" s="25"/>
      <c r="AB29" s="25"/>
      <c r="AC29" s="28"/>
      <c r="AD29" s="22"/>
      <c r="AE29" s="25"/>
      <c r="AF29" s="25"/>
      <c r="AG29" s="25"/>
    </row>
    <row r="30" spans="1:33" ht="24.75" customHeight="1">
      <c r="A30" s="65"/>
      <c r="B30" s="67" t="s">
        <v>117</v>
      </c>
      <c r="C30" s="77" t="s">
        <v>118</v>
      </c>
      <c r="D30" s="74">
        <f t="shared" si="7"/>
        <v>4968</v>
      </c>
      <c r="E30" s="63"/>
      <c r="F30" s="37">
        <v>69</v>
      </c>
      <c r="G30" s="70">
        <v>5.35</v>
      </c>
      <c r="H30" s="64">
        <f t="shared" ref="H30:H36" si="8">G30*72</f>
        <v>385.2</v>
      </c>
      <c r="I30" s="65">
        <v>8</v>
      </c>
      <c r="J30" s="64">
        <f t="shared" si="0"/>
        <v>416.02</v>
      </c>
      <c r="K30" s="64">
        <f t="shared" si="1"/>
        <v>26578.799999999999</v>
      </c>
      <c r="L30" s="14">
        <f t="shared" si="2"/>
        <v>28705.379999999997</v>
      </c>
      <c r="M30" s="54">
        <v>90.3</v>
      </c>
      <c r="N30" s="54">
        <v>4.25</v>
      </c>
      <c r="O30" s="19">
        <f t="shared" si="3"/>
        <v>383.77499999999998</v>
      </c>
      <c r="P30" s="19">
        <f t="shared" si="4"/>
        <v>26480.474999999999</v>
      </c>
      <c r="Q30" s="42">
        <f>D30*0.5</f>
        <v>2484</v>
      </c>
      <c r="R30" s="43"/>
      <c r="S30" s="27"/>
      <c r="T30" s="22"/>
      <c r="U30" s="22"/>
      <c r="V30" s="22"/>
      <c r="W30" s="22"/>
      <c r="X30" s="25"/>
      <c r="Y30" s="25"/>
      <c r="Z30" s="25"/>
      <c r="AA30" s="25"/>
      <c r="AB30" s="25"/>
      <c r="AC30" s="28"/>
      <c r="AD30" s="22"/>
      <c r="AE30" s="25"/>
      <c r="AF30" s="25"/>
      <c r="AG30" s="25"/>
    </row>
    <row r="31" spans="1:33" ht="24.75" customHeight="1">
      <c r="A31" s="65"/>
      <c r="B31" s="67" t="s">
        <v>125</v>
      </c>
      <c r="C31" s="77" t="s">
        <v>103</v>
      </c>
      <c r="D31" s="74">
        <f t="shared" si="7"/>
        <v>4968</v>
      </c>
      <c r="E31" s="63"/>
      <c r="F31" s="37">
        <v>69</v>
      </c>
      <c r="G31" s="70">
        <v>6.9</v>
      </c>
      <c r="H31" s="64">
        <f t="shared" si="8"/>
        <v>496.8</v>
      </c>
      <c r="I31" s="65">
        <v>8</v>
      </c>
      <c r="J31" s="64">
        <f t="shared" si="0"/>
        <v>536.54</v>
      </c>
      <c r="K31" s="64">
        <f t="shared" si="1"/>
        <v>34279.200000000004</v>
      </c>
      <c r="L31" s="14">
        <f t="shared" si="2"/>
        <v>37021.259999999995</v>
      </c>
      <c r="M31" s="54">
        <v>116.6</v>
      </c>
      <c r="N31" s="54">
        <v>4.25</v>
      </c>
      <c r="O31" s="19">
        <f t="shared" si="3"/>
        <v>495.54999999999995</v>
      </c>
      <c r="P31" s="19">
        <f t="shared" si="4"/>
        <v>34192.949999999997</v>
      </c>
      <c r="Q31" s="42">
        <f>D31*0.5</f>
        <v>2484</v>
      </c>
      <c r="R31" s="43"/>
      <c r="S31" s="27"/>
      <c r="T31" s="22"/>
      <c r="U31" s="22"/>
      <c r="V31" s="22"/>
      <c r="W31" s="22"/>
      <c r="X31" s="25"/>
      <c r="Y31" s="25"/>
      <c r="Z31" s="25"/>
      <c r="AA31" s="25"/>
      <c r="AB31" s="25"/>
      <c r="AC31" s="28"/>
      <c r="AD31" s="22"/>
      <c r="AE31" s="25"/>
      <c r="AF31" s="25"/>
      <c r="AG31" s="25"/>
    </row>
    <row r="32" spans="1:33" ht="24.75" customHeight="1">
      <c r="A32" s="65"/>
      <c r="B32" s="67" t="s">
        <v>126</v>
      </c>
      <c r="C32" s="77" t="s">
        <v>104</v>
      </c>
      <c r="D32" s="74">
        <f t="shared" si="7"/>
        <v>4968</v>
      </c>
      <c r="E32" s="63"/>
      <c r="F32" s="37">
        <v>69</v>
      </c>
      <c r="G32" s="70">
        <f>G31</f>
        <v>6.9</v>
      </c>
      <c r="H32" s="64">
        <f t="shared" si="8"/>
        <v>496.8</v>
      </c>
      <c r="I32" s="65">
        <v>8</v>
      </c>
      <c r="J32" s="64">
        <f t="shared" si="0"/>
        <v>536.54</v>
      </c>
      <c r="K32" s="64">
        <f t="shared" si="1"/>
        <v>34279.200000000004</v>
      </c>
      <c r="L32" s="14">
        <f t="shared" si="2"/>
        <v>37021.259999999995</v>
      </c>
      <c r="M32" s="54">
        <v>116.6</v>
      </c>
      <c r="N32" s="54">
        <v>4.25</v>
      </c>
      <c r="O32" s="19">
        <f t="shared" si="3"/>
        <v>495.54999999999995</v>
      </c>
      <c r="P32" s="19">
        <f t="shared" si="4"/>
        <v>34192.949999999997</v>
      </c>
      <c r="Q32" s="42">
        <f>D32*0.5</f>
        <v>2484</v>
      </c>
      <c r="R32" s="43"/>
      <c r="S32" s="27"/>
      <c r="T32" s="22"/>
      <c r="U32" s="22"/>
      <c r="V32" s="22"/>
      <c r="W32" s="22"/>
      <c r="X32" s="25"/>
      <c r="Y32" s="25"/>
      <c r="Z32" s="25"/>
      <c r="AA32" s="25"/>
      <c r="AB32" s="25"/>
      <c r="AC32" s="28"/>
      <c r="AD32" s="22"/>
      <c r="AE32" s="25"/>
      <c r="AF32" s="25"/>
      <c r="AG32" s="25"/>
    </row>
    <row r="33" spans="1:33" ht="24.75" customHeight="1">
      <c r="A33" s="65"/>
      <c r="B33" s="67" t="s">
        <v>123</v>
      </c>
      <c r="C33" s="77" t="s">
        <v>105</v>
      </c>
      <c r="D33" s="74">
        <f t="shared" si="7"/>
        <v>4968</v>
      </c>
      <c r="E33" s="63"/>
      <c r="F33" s="37">
        <v>69</v>
      </c>
      <c r="G33" s="70">
        <v>7</v>
      </c>
      <c r="H33" s="64">
        <f t="shared" si="8"/>
        <v>504</v>
      </c>
      <c r="I33" s="65">
        <v>8</v>
      </c>
      <c r="J33" s="64">
        <f t="shared" si="0"/>
        <v>544.32000000000005</v>
      </c>
      <c r="K33" s="64">
        <f t="shared" si="1"/>
        <v>34776</v>
      </c>
      <c r="L33" s="14">
        <f t="shared" si="2"/>
        <v>37558.080000000002</v>
      </c>
      <c r="M33" s="54">
        <v>118.8</v>
      </c>
      <c r="N33" s="54">
        <v>4.25</v>
      </c>
      <c r="O33" s="19">
        <f t="shared" si="3"/>
        <v>504.9</v>
      </c>
      <c r="P33" s="19">
        <f t="shared" si="4"/>
        <v>34838.1</v>
      </c>
      <c r="Q33" s="42">
        <f>D33*0.5</f>
        <v>2484</v>
      </c>
      <c r="R33" s="43"/>
      <c r="S33" s="27"/>
      <c r="T33" s="22"/>
      <c r="U33" s="22"/>
      <c r="V33" s="22"/>
      <c r="W33" s="22"/>
      <c r="X33" s="25"/>
      <c r="Y33" s="25"/>
      <c r="Z33" s="25"/>
      <c r="AA33" s="25"/>
      <c r="AB33" s="25"/>
      <c r="AC33" s="28"/>
      <c r="AD33" s="22"/>
      <c r="AE33" s="25"/>
      <c r="AF33" s="25"/>
      <c r="AG33" s="25"/>
    </row>
    <row r="34" spans="1:33" ht="24.75" customHeight="1">
      <c r="A34" s="65"/>
      <c r="B34" s="67" t="s">
        <v>124</v>
      </c>
      <c r="C34" s="77" t="s">
        <v>106</v>
      </c>
      <c r="D34" s="74">
        <f t="shared" si="7"/>
        <v>4968</v>
      </c>
      <c r="E34" s="63"/>
      <c r="F34" s="37">
        <v>69</v>
      </c>
      <c r="G34" s="70">
        <f>G33</f>
        <v>7</v>
      </c>
      <c r="H34" s="64">
        <f t="shared" si="8"/>
        <v>504</v>
      </c>
      <c r="I34" s="65">
        <v>8</v>
      </c>
      <c r="J34" s="64">
        <f t="shared" si="0"/>
        <v>544.32000000000005</v>
      </c>
      <c r="K34" s="64">
        <f t="shared" si="1"/>
        <v>34776</v>
      </c>
      <c r="L34" s="14">
        <f t="shared" si="2"/>
        <v>37558.080000000002</v>
      </c>
      <c r="M34" s="54">
        <v>118.8</v>
      </c>
      <c r="N34" s="54">
        <v>4.25</v>
      </c>
      <c r="O34" s="19">
        <f t="shared" si="3"/>
        <v>504.9</v>
      </c>
      <c r="P34" s="19">
        <f t="shared" si="4"/>
        <v>34838.1</v>
      </c>
      <c r="Q34" s="42">
        <f>D34*0.5</f>
        <v>2484</v>
      </c>
      <c r="R34" s="43"/>
      <c r="S34" s="27"/>
      <c r="T34" s="22"/>
      <c r="U34" s="22"/>
      <c r="V34" s="22"/>
      <c r="W34" s="22"/>
      <c r="X34" s="25"/>
      <c r="Y34" s="25"/>
      <c r="Z34" s="25"/>
      <c r="AA34" s="25"/>
      <c r="AB34" s="25"/>
      <c r="AC34" s="28"/>
      <c r="AD34" s="22"/>
      <c r="AE34" s="25"/>
      <c r="AF34" s="25"/>
      <c r="AG34" s="25"/>
    </row>
    <row r="35" spans="1:33" ht="24.75" customHeight="1">
      <c r="A35" s="65"/>
      <c r="B35" s="67" t="s">
        <v>127</v>
      </c>
      <c r="C35" s="76" t="s">
        <v>107</v>
      </c>
      <c r="D35" s="74">
        <f t="shared" si="7"/>
        <v>4968</v>
      </c>
      <c r="E35" s="63"/>
      <c r="F35" s="37">
        <v>69</v>
      </c>
      <c r="G35" s="70">
        <v>2.85</v>
      </c>
      <c r="H35" s="64">
        <f t="shared" si="8"/>
        <v>205.20000000000002</v>
      </c>
      <c r="I35" s="65">
        <v>8</v>
      </c>
      <c r="J35" s="64">
        <f t="shared" si="0"/>
        <v>221.62</v>
      </c>
      <c r="K35" s="64">
        <f t="shared" si="1"/>
        <v>14158.800000000001</v>
      </c>
      <c r="L35" s="14">
        <f t="shared" si="2"/>
        <v>15291.78</v>
      </c>
      <c r="M35" s="54">
        <v>48</v>
      </c>
      <c r="N35" s="54">
        <v>4.25</v>
      </c>
      <c r="O35" s="19">
        <f t="shared" si="3"/>
        <v>204</v>
      </c>
      <c r="P35" s="19">
        <f t="shared" si="4"/>
        <v>14076</v>
      </c>
      <c r="Q35" s="42"/>
      <c r="R35" s="43">
        <f>D35</f>
        <v>4968</v>
      </c>
      <c r="S35" s="27"/>
      <c r="T35" s="22"/>
      <c r="U35" s="22"/>
      <c r="V35" s="22"/>
      <c r="W35" s="22"/>
      <c r="X35" s="25"/>
      <c r="Y35" s="25"/>
      <c r="Z35" s="25"/>
      <c r="AA35" s="25"/>
      <c r="AB35" s="25"/>
      <c r="AC35" s="28"/>
      <c r="AD35" s="22"/>
      <c r="AE35" s="25"/>
      <c r="AF35" s="25"/>
      <c r="AG35" s="25"/>
    </row>
    <row r="36" spans="1:33" ht="24.75" customHeight="1">
      <c r="A36" s="65"/>
      <c r="B36" s="67" t="s">
        <v>128</v>
      </c>
      <c r="C36" s="76" t="s">
        <v>108</v>
      </c>
      <c r="D36" s="74">
        <f t="shared" si="7"/>
        <v>4968</v>
      </c>
      <c r="E36" s="63"/>
      <c r="F36" s="37">
        <v>69</v>
      </c>
      <c r="G36" s="70">
        <f>G35</f>
        <v>2.85</v>
      </c>
      <c r="H36" s="64">
        <f t="shared" si="8"/>
        <v>205.20000000000002</v>
      </c>
      <c r="I36" s="65">
        <v>8</v>
      </c>
      <c r="J36" s="64">
        <f t="shared" si="0"/>
        <v>221.62</v>
      </c>
      <c r="K36" s="64">
        <f t="shared" si="1"/>
        <v>14158.800000000001</v>
      </c>
      <c r="L36" s="14">
        <f t="shared" si="2"/>
        <v>15291.78</v>
      </c>
      <c r="M36" s="54">
        <v>48</v>
      </c>
      <c r="N36" s="54">
        <v>4.25</v>
      </c>
      <c r="O36" s="19">
        <f t="shared" si="3"/>
        <v>204</v>
      </c>
      <c r="P36" s="19">
        <f t="shared" si="4"/>
        <v>14076</v>
      </c>
      <c r="Q36" s="42"/>
      <c r="R36" s="43">
        <f>D36</f>
        <v>4968</v>
      </c>
      <c r="S36" s="27"/>
      <c r="T36" s="22"/>
      <c r="U36" s="22"/>
      <c r="V36" s="22"/>
      <c r="W36" s="22"/>
      <c r="X36" s="25"/>
      <c r="Y36" s="25"/>
      <c r="Z36" s="25"/>
      <c r="AA36" s="25"/>
      <c r="AB36" s="25"/>
      <c r="AC36" s="28"/>
      <c r="AD36" s="22"/>
      <c r="AE36" s="25"/>
      <c r="AF36" s="25"/>
      <c r="AG36" s="25"/>
    </row>
    <row r="37" spans="1:33" ht="24.75" customHeight="1">
      <c r="A37" s="65"/>
      <c r="B37" s="67" t="s">
        <v>133</v>
      </c>
      <c r="C37" s="76" t="s">
        <v>109</v>
      </c>
      <c r="D37" s="74"/>
      <c r="E37" s="63"/>
      <c r="F37" s="37">
        <v>63</v>
      </c>
      <c r="G37" s="70">
        <v>4.2</v>
      </c>
      <c r="H37" s="64">
        <f>G37*80</f>
        <v>336</v>
      </c>
      <c r="I37" s="65">
        <v>8</v>
      </c>
      <c r="J37" s="64">
        <f t="shared" si="0"/>
        <v>362.88</v>
      </c>
      <c r="K37" s="64">
        <f t="shared" si="1"/>
        <v>21168</v>
      </c>
      <c r="L37" s="14">
        <f t="shared" si="2"/>
        <v>22861.439999999999</v>
      </c>
      <c r="M37" s="54">
        <v>79</v>
      </c>
      <c r="N37" s="54">
        <v>4.25</v>
      </c>
      <c r="O37" s="19">
        <f t="shared" si="3"/>
        <v>335.75</v>
      </c>
      <c r="P37" s="19">
        <f t="shared" si="4"/>
        <v>21152.25</v>
      </c>
      <c r="Q37" s="42"/>
      <c r="R37" s="43"/>
      <c r="S37" s="27"/>
      <c r="T37" s="22"/>
      <c r="U37" s="22"/>
      <c r="V37" s="22"/>
      <c r="W37" s="22"/>
      <c r="X37" s="25"/>
      <c r="Y37" s="25"/>
      <c r="Z37" s="25"/>
      <c r="AA37" s="25"/>
      <c r="AB37" s="25"/>
      <c r="AC37" s="28"/>
      <c r="AD37" s="22"/>
      <c r="AE37" s="25"/>
      <c r="AF37" s="25"/>
      <c r="AG37" s="25"/>
    </row>
    <row r="38" spans="1:33" ht="24.75" customHeight="1">
      <c r="A38" s="65"/>
      <c r="B38" s="67" t="s">
        <v>134</v>
      </c>
      <c r="C38" s="76" t="s">
        <v>110</v>
      </c>
      <c r="D38" s="74"/>
      <c r="E38" s="63"/>
      <c r="F38" s="37">
        <v>63</v>
      </c>
      <c r="G38" s="70">
        <f>G37</f>
        <v>4.2</v>
      </c>
      <c r="H38" s="64">
        <f>G38*80</f>
        <v>336</v>
      </c>
      <c r="I38" s="65">
        <v>8</v>
      </c>
      <c r="J38" s="64">
        <f t="shared" si="0"/>
        <v>362.88</v>
      </c>
      <c r="K38" s="64">
        <f t="shared" si="1"/>
        <v>21168</v>
      </c>
      <c r="L38" s="14">
        <f t="shared" si="2"/>
        <v>22861.439999999999</v>
      </c>
      <c r="M38" s="54">
        <v>79</v>
      </c>
      <c r="N38" s="54">
        <v>4.25</v>
      </c>
      <c r="O38" s="19">
        <f t="shared" si="3"/>
        <v>335.75</v>
      </c>
      <c r="P38" s="19">
        <f t="shared" si="4"/>
        <v>21152.25</v>
      </c>
      <c r="Q38" s="42"/>
      <c r="R38" s="43"/>
      <c r="S38" s="27"/>
      <c r="T38" s="22"/>
      <c r="U38" s="22"/>
      <c r="V38" s="22"/>
      <c r="W38" s="22"/>
      <c r="X38" s="25"/>
      <c r="Y38" s="25"/>
      <c r="Z38" s="25"/>
      <c r="AA38" s="25"/>
      <c r="AB38" s="25"/>
      <c r="AC38" s="28"/>
      <c r="AD38" s="22"/>
      <c r="AE38" s="25"/>
      <c r="AF38" s="25"/>
      <c r="AG38" s="25"/>
    </row>
    <row r="39" spans="1:33" ht="24.75" customHeight="1">
      <c r="A39" s="65"/>
      <c r="B39" s="67" t="s">
        <v>129</v>
      </c>
      <c r="C39" s="76" t="s">
        <v>111</v>
      </c>
      <c r="D39" s="74">
        <f>F39*72</f>
        <v>4968</v>
      </c>
      <c r="E39" s="63"/>
      <c r="F39" s="37">
        <v>69</v>
      </c>
      <c r="G39" s="70">
        <f>G35</f>
        <v>2.85</v>
      </c>
      <c r="H39" s="64">
        <f>G39*72</f>
        <v>205.20000000000002</v>
      </c>
      <c r="I39" s="65">
        <v>8</v>
      </c>
      <c r="J39" s="64">
        <f t="shared" si="0"/>
        <v>221.62</v>
      </c>
      <c r="K39" s="64">
        <f t="shared" si="1"/>
        <v>14158.800000000001</v>
      </c>
      <c r="L39" s="14">
        <f t="shared" si="2"/>
        <v>15291.78</v>
      </c>
      <c r="M39" s="54">
        <v>48</v>
      </c>
      <c r="N39" s="54">
        <v>4.25</v>
      </c>
      <c r="O39" s="19">
        <f t="shared" si="3"/>
        <v>204</v>
      </c>
      <c r="P39" s="19">
        <f t="shared" si="4"/>
        <v>14076</v>
      </c>
      <c r="Q39" s="42"/>
      <c r="R39" s="43">
        <f>D39</f>
        <v>4968</v>
      </c>
      <c r="S39" s="27"/>
      <c r="T39" s="22"/>
      <c r="U39" s="22"/>
      <c r="V39" s="22"/>
      <c r="W39" s="22"/>
      <c r="X39" s="25"/>
      <c r="Y39" s="25"/>
      <c r="Z39" s="25"/>
      <c r="AA39" s="25"/>
      <c r="AB39" s="25"/>
      <c r="AC39" s="28"/>
      <c r="AD39" s="22"/>
      <c r="AE39" s="25"/>
      <c r="AF39" s="25"/>
      <c r="AG39" s="25"/>
    </row>
    <row r="40" spans="1:33" ht="24.75" customHeight="1">
      <c r="A40" s="65"/>
      <c r="B40" s="67" t="s">
        <v>131</v>
      </c>
      <c r="C40" s="76" t="s">
        <v>112</v>
      </c>
      <c r="D40" s="74">
        <f>F40*72</f>
        <v>4968</v>
      </c>
      <c r="E40" s="63"/>
      <c r="F40" s="37">
        <v>69</v>
      </c>
      <c r="G40" s="70">
        <f>G35</f>
        <v>2.85</v>
      </c>
      <c r="H40" s="64">
        <f>G40*72</f>
        <v>205.20000000000002</v>
      </c>
      <c r="I40" s="65">
        <v>8</v>
      </c>
      <c r="J40" s="64">
        <f t="shared" si="0"/>
        <v>221.62</v>
      </c>
      <c r="K40" s="64">
        <f t="shared" si="1"/>
        <v>14158.800000000001</v>
      </c>
      <c r="L40" s="14">
        <f t="shared" si="2"/>
        <v>15291.78</v>
      </c>
      <c r="M40" s="54">
        <v>48</v>
      </c>
      <c r="N40" s="54">
        <v>4.25</v>
      </c>
      <c r="O40" s="19">
        <f t="shared" si="3"/>
        <v>204</v>
      </c>
      <c r="P40" s="19">
        <f t="shared" si="4"/>
        <v>14076</v>
      </c>
      <c r="Q40" s="42"/>
      <c r="R40" s="43">
        <f>D40</f>
        <v>4968</v>
      </c>
      <c r="S40" s="27"/>
      <c r="T40" s="22"/>
      <c r="U40" s="22"/>
      <c r="V40" s="22"/>
      <c r="W40" s="22"/>
      <c r="X40" s="25"/>
      <c r="Y40" s="25"/>
      <c r="Z40" s="25"/>
      <c r="AA40" s="25"/>
      <c r="AB40" s="25"/>
      <c r="AC40" s="28"/>
      <c r="AD40" s="22"/>
      <c r="AE40" s="25"/>
      <c r="AF40" s="25"/>
      <c r="AG40" s="25"/>
    </row>
    <row r="41" spans="1:33" ht="24.75" customHeight="1">
      <c r="A41" s="65"/>
      <c r="B41" s="67" t="s">
        <v>130</v>
      </c>
      <c r="C41" s="76" t="s">
        <v>113</v>
      </c>
      <c r="D41" s="74"/>
      <c r="E41" s="63"/>
      <c r="F41" s="37">
        <v>63</v>
      </c>
      <c r="G41" s="70">
        <f>G37</f>
        <v>4.2</v>
      </c>
      <c r="H41" s="64">
        <f>G41*80</f>
        <v>336</v>
      </c>
      <c r="I41" s="65">
        <v>8</v>
      </c>
      <c r="J41" s="64">
        <f t="shared" si="0"/>
        <v>362.88</v>
      </c>
      <c r="K41" s="64">
        <f t="shared" si="1"/>
        <v>21168</v>
      </c>
      <c r="L41" s="14">
        <f t="shared" si="2"/>
        <v>22861.439999999999</v>
      </c>
      <c r="M41" s="54">
        <v>79</v>
      </c>
      <c r="N41" s="54">
        <v>4.25</v>
      </c>
      <c r="O41" s="19">
        <f t="shared" si="3"/>
        <v>335.75</v>
      </c>
      <c r="P41" s="19">
        <f t="shared" si="4"/>
        <v>21152.25</v>
      </c>
      <c r="Q41" s="42"/>
      <c r="R41" s="43"/>
      <c r="S41" s="27"/>
      <c r="T41" s="22"/>
      <c r="U41" s="22"/>
      <c r="V41" s="22"/>
      <c r="W41" s="22"/>
      <c r="X41" s="25"/>
      <c r="Y41" s="25"/>
      <c r="Z41" s="25"/>
      <c r="AA41" s="25"/>
      <c r="AB41" s="25"/>
      <c r="AC41" s="28"/>
      <c r="AD41" s="22"/>
      <c r="AE41" s="25"/>
      <c r="AF41" s="25"/>
      <c r="AG41" s="25"/>
    </row>
    <row r="42" spans="1:33" ht="24.75" customHeight="1">
      <c r="A42" s="65"/>
      <c r="B42" s="67" t="s">
        <v>132</v>
      </c>
      <c r="C42" s="76" t="s">
        <v>114</v>
      </c>
      <c r="D42" s="74"/>
      <c r="E42" s="63"/>
      <c r="F42" s="37">
        <v>63</v>
      </c>
      <c r="G42" s="70">
        <f>G37</f>
        <v>4.2</v>
      </c>
      <c r="H42" s="64">
        <f>G42*80</f>
        <v>336</v>
      </c>
      <c r="I42" s="65">
        <v>8</v>
      </c>
      <c r="J42" s="64">
        <f t="shared" si="0"/>
        <v>362.88</v>
      </c>
      <c r="K42" s="64">
        <f t="shared" si="1"/>
        <v>21168</v>
      </c>
      <c r="L42" s="14">
        <f t="shared" si="2"/>
        <v>22861.439999999999</v>
      </c>
      <c r="M42" s="54">
        <v>79</v>
      </c>
      <c r="N42" s="54">
        <v>4.25</v>
      </c>
      <c r="O42" s="19">
        <f t="shared" si="3"/>
        <v>335.75</v>
      </c>
      <c r="P42" s="19">
        <f t="shared" si="4"/>
        <v>21152.25</v>
      </c>
      <c r="Q42" s="42"/>
      <c r="R42" s="43"/>
      <c r="S42" s="27"/>
      <c r="T42" s="22"/>
      <c r="U42" s="22"/>
      <c r="V42" s="22"/>
      <c r="W42" s="22"/>
      <c r="X42" s="25"/>
      <c r="Y42" s="25"/>
      <c r="Z42" s="25"/>
      <c r="AA42" s="25"/>
      <c r="AB42" s="25"/>
      <c r="AC42" s="28"/>
      <c r="AD42" s="22"/>
      <c r="AE42" s="25"/>
      <c r="AF42" s="25"/>
      <c r="AG42" s="25"/>
    </row>
    <row r="43" spans="1:33" s="6" customFormat="1" ht="36" customHeight="1">
      <c r="A43" s="65">
        <v>10</v>
      </c>
      <c r="B43" s="78" t="s">
        <v>19</v>
      </c>
      <c r="C43" s="68" t="s">
        <v>48</v>
      </c>
      <c r="D43" s="79" t="s">
        <v>88</v>
      </c>
      <c r="E43" s="63" t="s">
        <v>20</v>
      </c>
      <c r="F43" s="37">
        <v>13</v>
      </c>
      <c r="G43" s="70" t="s">
        <v>23</v>
      </c>
      <c r="H43" s="64">
        <v>530</v>
      </c>
      <c r="I43" s="65">
        <v>8</v>
      </c>
      <c r="J43" s="64">
        <f t="shared" si="0"/>
        <v>572.4</v>
      </c>
      <c r="K43" s="64">
        <f t="shared" si="1"/>
        <v>6890</v>
      </c>
      <c r="L43" s="14">
        <f t="shared" si="2"/>
        <v>7441.2</v>
      </c>
      <c r="M43" s="54">
        <v>134.4</v>
      </c>
      <c r="N43" s="54">
        <v>4.25</v>
      </c>
      <c r="O43" s="19">
        <f t="shared" si="3"/>
        <v>571.20000000000005</v>
      </c>
      <c r="P43" s="19">
        <f t="shared" si="4"/>
        <v>7425.6</v>
      </c>
      <c r="Q43" s="42"/>
      <c r="R43" s="43"/>
      <c r="S43" s="27"/>
      <c r="T43" s="22"/>
      <c r="U43" s="22"/>
      <c r="V43" s="22"/>
      <c r="W43" s="22"/>
      <c r="X43" s="25"/>
      <c r="Y43" s="25"/>
      <c r="Z43" s="25"/>
      <c r="AA43" s="25"/>
      <c r="AB43" s="25"/>
      <c r="AC43" s="29"/>
      <c r="AD43" s="22"/>
      <c r="AE43" s="25"/>
      <c r="AF43" s="25"/>
      <c r="AG43" s="25"/>
    </row>
    <row r="44" spans="1:33" s="6" customFormat="1" ht="30" customHeight="1">
      <c r="A44" s="65">
        <v>11</v>
      </c>
      <c r="B44" s="78" t="s">
        <v>55</v>
      </c>
      <c r="C44" s="72" t="s">
        <v>49</v>
      </c>
      <c r="D44" s="79" t="s">
        <v>88</v>
      </c>
      <c r="E44" s="63" t="s">
        <v>13</v>
      </c>
      <c r="F44" s="37">
        <v>165</v>
      </c>
      <c r="G44" s="70">
        <v>0.98</v>
      </c>
      <c r="H44" s="64">
        <f>G44*500</f>
        <v>490</v>
      </c>
      <c r="I44" s="65">
        <v>8</v>
      </c>
      <c r="J44" s="64">
        <f t="shared" si="0"/>
        <v>529.20000000000005</v>
      </c>
      <c r="K44" s="64">
        <f t="shared" si="1"/>
        <v>80850</v>
      </c>
      <c r="L44" s="14">
        <f t="shared" si="2"/>
        <v>87318.000000000015</v>
      </c>
      <c r="M44" s="54">
        <v>134.19999999999999</v>
      </c>
      <c r="N44" s="54">
        <v>4.25</v>
      </c>
      <c r="O44" s="19">
        <f t="shared" si="3"/>
        <v>570.34999999999991</v>
      </c>
      <c r="P44" s="19">
        <f t="shared" si="4"/>
        <v>94107.749999999985</v>
      </c>
      <c r="Q44" s="42"/>
      <c r="R44" s="43"/>
      <c r="S44" s="27"/>
      <c r="T44" s="22"/>
      <c r="U44" s="22"/>
      <c r="V44" s="22"/>
      <c r="W44" s="22"/>
      <c r="X44" s="25"/>
      <c r="Y44" s="25"/>
      <c r="Z44" s="25"/>
      <c r="AA44" s="25"/>
      <c r="AB44" s="25"/>
      <c r="AC44" s="29"/>
      <c r="AD44" s="22"/>
      <c r="AE44" s="25"/>
      <c r="AF44" s="25"/>
      <c r="AG44" s="25"/>
    </row>
    <row r="45" spans="1:33" s="6" customFormat="1" ht="30" customHeight="1">
      <c r="A45" s="65">
        <v>12</v>
      </c>
      <c r="B45" s="78" t="s">
        <v>12</v>
      </c>
      <c r="C45" s="72" t="s">
        <v>50</v>
      </c>
      <c r="D45" s="79" t="s">
        <v>88</v>
      </c>
      <c r="E45" s="63" t="s">
        <v>13</v>
      </c>
      <c r="F45" s="37">
        <v>74</v>
      </c>
      <c r="G45" s="70">
        <v>0.55000000000000004</v>
      </c>
      <c r="H45" s="64">
        <f>G45*500</f>
        <v>275</v>
      </c>
      <c r="I45" s="65">
        <v>8</v>
      </c>
      <c r="J45" s="64">
        <f t="shared" si="0"/>
        <v>297</v>
      </c>
      <c r="K45" s="64">
        <f t="shared" si="1"/>
        <v>20350</v>
      </c>
      <c r="L45" s="14">
        <f t="shared" si="2"/>
        <v>21978</v>
      </c>
      <c r="M45" s="54">
        <v>74.8</v>
      </c>
      <c r="N45" s="54">
        <v>4.25</v>
      </c>
      <c r="O45" s="19">
        <f t="shared" si="3"/>
        <v>317.89999999999998</v>
      </c>
      <c r="P45" s="19">
        <f t="shared" si="4"/>
        <v>23524.6</v>
      </c>
      <c r="Q45" s="42"/>
      <c r="R45" s="43"/>
      <c r="S45" s="27"/>
      <c r="T45" s="22"/>
      <c r="U45" s="22"/>
      <c r="V45" s="22"/>
      <c r="W45" s="22"/>
      <c r="X45" s="25"/>
      <c r="Y45" s="25"/>
      <c r="Z45" s="25"/>
      <c r="AA45" s="25"/>
      <c r="AB45" s="25"/>
      <c r="AC45" s="29"/>
      <c r="AD45" s="22"/>
      <c r="AE45" s="25"/>
      <c r="AF45" s="25"/>
      <c r="AG45" s="25"/>
    </row>
    <row r="46" spans="1:33" s="6" customFormat="1" ht="30" customHeight="1">
      <c r="A46" s="65">
        <v>13</v>
      </c>
      <c r="B46" s="78" t="s">
        <v>14</v>
      </c>
      <c r="C46" s="72" t="s">
        <v>51</v>
      </c>
      <c r="D46" s="79" t="s">
        <v>88</v>
      </c>
      <c r="E46" s="63" t="s">
        <v>69</v>
      </c>
      <c r="F46" s="37">
        <v>120</v>
      </c>
      <c r="G46" s="70" t="s">
        <v>23</v>
      </c>
      <c r="H46" s="64">
        <v>75</v>
      </c>
      <c r="I46" s="65">
        <v>8</v>
      </c>
      <c r="J46" s="64">
        <f t="shared" si="0"/>
        <v>81</v>
      </c>
      <c r="K46" s="64">
        <f t="shared" si="1"/>
        <v>9000</v>
      </c>
      <c r="L46" s="14">
        <f t="shared" si="2"/>
        <v>9720</v>
      </c>
      <c r="M46" s="54">
        <v>21</v>
      </c>
      <c r="N46" s="54">
        <v>4.25</v>
      </c>
      <c r="O46" s="19">
        <f t="shared" si="3"/>
        <v>89.25</v>
      </c>
      <c r="P46" s="19">
        <f t="shared" si="4"/>
        <v>10710</v>
      </c>
      <c r="Q46" s="42"/>
      <c r="R46" s="43"/>
      <c r="S46" s="27"/>
      <c r="T46" s="22"/>
      <c r="U46" s="22"/>
      <c r="V46" s="22"/>
      <c r="W46" s="22"/>
      <c r="X46" s="25"/>
      <c r="Y46" s="25"/>
      <c r="Z46" s="25"/>
      <c r="AA46" s="25"/>
      <c r="AB46" s="25"/>
      <c r="AC46" s="29"/>
      <c r="AD46" s="22"/>
      <c r="AE46" s="25"/>
      <c r="AF46" s="25"/>
      <c r="AG46" s="25"/>
    </row>
    <row r="47" spans="1:33" s="6" customFormat="1" ht="30" customHeight="1">
      <c r="A47" s="65">
        <v>14</v>
      </c>
      <c r="B47" s="78" t="s">
        <v>56</v>
      </c>
      <c r="C47" s="72" t="s">
        <v>52</v>
      </c>
      <c r="D47" s="79" t="s">
        <v>88</v>
      </c>
      <c r="E47" s="63" t="s">
        <v>69</v>
      </c>
      <c r="F47" s="37">
        <v>40</v>
      </c>
      <c r="G47" s="70" t="s">
        <v>23</v>
      </c>
      <c r="H47" s="64">
        <v>75</v>
      </c>
      <c r="I47" s="65">
        <v>8</v>
      </c>
      <c r="J47" s="64">
        <f t="shared" si="0"/>
        <v>81</v>
      </c>
      <c r="K47" s="64">
        <f t="shared" si="1"/>
        <v>3000</v>
      </c>
      <c r="L47" s="14">
        <f t="shared" si="2"/>
        <v>3240</v>
      </c>
      <c r="M47" s="54">
        <v>21</v>
      </c>
      <c r="N47" s="54">
        <v>4.25</v>
      </c>
      <c r="O47" s="19">
        <f t="shared" si="3"/>
        <v>89.25</v>
      </c>
      <c r="P47" s="19">
        <f t="shared" si="4"/>
        <v>3570</v>
      </c>
      <c r="Q47" s="42"/>
      <c r="R47" s="43"/>
      <c r="S47" s="27"/>
      <c r="T47" s="22"/>
      <c r="U47" s="22"/>
      <c r="V47" s="22"/>
      <c r="W47" s="22"/>
      <c r="X47" s="25"/>
      <c r="Y47" s="25"/>
      <c r="Z47" s="25"/>
      <c r="AA47" s="25"/>
      <c r="AB47" s="25"/>
      <c r="AC47" s="29"/>
      <c r="AD47" s="22"/>
      <c r="AE47" s="25"/>
      <c r="AF47" s="25"/>
      <c r="AG47" s="25"/>
    </row>
    <row r="48" spans="1:33" s="6" customFormat="1" ht="30" customHeight="1">
      <c r="A48" s="65">
        <v>15</v>
      </c>
      <c r="B48" s="78" t="s">
        <v>57</v>
      </c>
      <c r="C48" s="72" t="s">
        <v>53</v>
      </c>
      <c r="D48" s="79" t="s">
        <v>88</v>
      </c>
      <c r="E48" s="63" t="s">
        <v>68</v>
      </c>
      <c r="F48" s="37">
        <v>2</v>
      </c>
      <c r="G48" s="70" t="s">
        <v>23</v>
      </c>
      <c r="H48" s="64">
        <v>108.5</v>
      </c>
      <c r="I48" s="65">
        <v>23</v>
      </c>
      <c r="J48" s="64">
        <f t="shared" si="0"/>
        <v>133.46</v>
      </c>
      <c r="K48" s="64">
        <f t="shared" si="1"/>
        <v>217</v>
      </c>
      <c r="L48" s="14">
        <f t="shared" si="2"/>
        <v>266.92</v>
      </c>
      <c r="M48" s="54">
        <v>25.2</v>
      </c>
      <c r="N48" s="54">
        <v>4.25</v>
      </c>
      <c r="O48" s="19">
        <f t="shared" si="3"/>
        <v>107.1</v>
      </c>
      <c r="P48" s="19">
        <f t="shared" si="4"/>
        <v>214.2</v>
      </c>
      <c r="Q48" s="42"/>
      <c r="R48" s="43"/>
      <c r="S48" s="27"/>
      <c r="T48" s="22"/>
      <c r="U48" s="22"/>
      <c r="V48" s="22"/>
      <c r="W48" s="22"/>
      <c r="X48" s="25"/>
      <c r="Y48" s="25"/>
      <c r="Z48" s="25"/>
      <c r="AA48" s="25"/>
      <c r="AB48" s="25"/>
      <c r="AC48" s="29"/>
      <c r="AD48" s="22"/>
      <c r="AE48" s="25"/>
      <c r="AF48" s="25"/>
      <c r="AG48" s="25"/>
    </row>
    <row r="49" spans="1:33" s="6" customFormat="1" ht="30" customHeight="1">
      <c r="A49" s="65">
        <v>16</v>
      </c>
      <c r="B49" s="78" t="s">
        <v>66</v>
      </c>
      <c r="C49" s="72" t="s">
        <v>54</v>
      </c>
      <c r="D49" s="79" t="s">
        <v>88</v>
      </c>
      <c r="E49" s="63" t="s">
        <v>67</v>
      </c>
      <c r="F49" s="37">
        <v>4</v>
      </c>
      <c r="G49" s="70" t="s">
        <v>23</v>
      </c>
      <c r="H49" s="64">
        <v>150.5</v>
      </c>
      <c r="I49" s="65">
        <v>23</v>
      </c>
      <c r="J49" s="64">
        <f t="shared" si="0"/>
        <v>185.12</v>
      </c>
      <c r="K49" s="64">
        <f t="shared" si="1"/>
        <v>602</v>
      </c>
      <c r="L49" s="14">
        <f t="shared" si="2"/>
        <v>740.48</v>
      </c>
      <c r="M49" s="54">
        <v>35</v>
      </c>
      <c r="N49" s="54">
        <v>4.25</v>
      </c>
      <c r="O49" s="19">
        <f t="shared" si="3"/>
        <v>148.75</v>
      </c>
      <c r="P49" s="19">
        <f t="shared" si="4"/>
        <v>595</v>
      </c>
      <c r="Q49" s="45">
        <f>SUM(Q11:Q48)</f>
        <v>63456</v>
      </c>
      <c r="R49" s="43">
        <f>SUM(R11:R48)</f>
        <v>28500</v>
      </c>
      <c r="S49" s="27"/>
      <c r="T49" s="22"/>
      <c r="U49" s="22"/>
      <c r="V49" s="22"/>
      <c r="W49" s="22"/>
      <c r="X49" s="25"/>
      <c r="Y49" s="25"/>
      <c r="Z49" s="25"/>
      <c r="AA49" s="25"/>
      <c r="AB49" s="25"/>
      <c r="AC49" s="29"/>
      <c r="AD49" s="22"/>
      <c r="AE49" s="25"/>
      <c r="AF49" s="25"/>
      <c r="AG49" s="25"/>
    </row>
    <row r="50" spans="1:33" s="6" customFormat="1" ht="144" customHeight="1">
      <c r="A50" s="65">
        <v>17</v>
      </c>
      <c r="B50" s="78" t="s">
        <v>23</v>
      </c>
      <c r="C50" s="72" t="s">
        <v>162</v>
      </c>
      <c r="D50" s="79" t="s">
        <v>94</v>
      </c>
      <c r="E50" s="63" t="s">
        <v>80</v>
      </c>
      <c r="F50" s="37">
        <v>12</v>
      </c>
      <c r="G50" s="70" t="s">
        <v>23</v>
      </c>
      <c r="H50" s="64">
        <v>3800</v>
      </c>
      <c r="I50" s="65">
        <v>23</v>
      </c>
      <c r="J50" s="64">
        <f t="shared" si="0"/>
        <v>4674</v>
      </c>
      <c r="K50" s="64">
        <f t="shared" si="1"/>
        <v>45600</v>
      </c>
      <c r="L50" s="14">
        <f t="shared" si="2"/>
        <v>56088</v>
      </c>
      <c r="M50" s="54"/>
      <c r="N50" s="54"/>
      <c r="O50" s="19"/>
      <c r="P50" s="23">
        <f>SUM(P11:P49)</f>
        <v>853383.42499999993</v>
      </c>
      <c r="Q50" s="42">
        <f>Q49/500</f>
        <v>126.91200000000001</v>
      </c>
      <c r="R50" s="43">
        <f>R49/500</f>
        <v>57</v>
      </c>
      <c r="S50" s="27"/>
      <c r="T50" s="22"/>
      <c r="U50" s="22"/>
      <c r="V50" s="22"/>
      <c r="W50" s="22"/>
      <c r="X50" s="25"/>
      <c r="Y50" s="25"/>
      <c r="Z50" s="25"/>
      <c r="AA50" s="25"/>
      <c r="AB50" s="25"/>
      <c r="AC50" s="29"/>
      <c r="AD50" s="22"/>
      <c r="AE50" s="25"/>
      <c r="AF50" s="25"/>
      <c r="AG50" s="25"/>
    </row>
    <row r="51" spans="1:33" s="6" customFormat="1" ht="24.95" customHeight="1">
      <c r="A51" s="165" t="s">
        <v>9</v>
      </c>
      <c r="B51" s="166"/>
      <c r="C51" s="166"/>
      <c r="D51" s="166"/>
      <c r="E51" s="166"/>
      <c r="F51" s="166"/>
      <c r="G51" s="166"/>
      <c r="H51" s="166"/>
      <c r="I51" s="166"/>
      <c r="J51" s="167"/>
      <c r="K51" s="66">
        <f>SUM(K11:K50)</f>
        <v>874969.40000000014</v>
      </c>
      <c r="L51" s="15">
        <f>SUM(L11:L50)</f>
        <v>951930.45999999973</v>
      </c>
      <c r="M51" s="55"/>
      <c r="N51" s="55"/>
      <c r="O51" s="19"/>
      <c r="P51" s="19">
        <f>SUM(K11:K49)</f>
        <v>829369.40000000014</v>
      </c>
      <c r="Q51" s="59">
        <f>Q50*1.3</f>
        <v>164.98560000000001</v>
      </c>
      <c r="R51" s="60">
        <f>R50*1.3</f>
        <v>74.100000000000009</v>
      </c>
      <c r="S51" s="27"/>
      <c r="T51" s="22"/>
      <c r="U51" s="22"/>
      <c r="V51" s="22"/>
      <c r="W51" s="22"/>
      <c r="X51" s="25"/>
      <c r="Y51" s="25"/>
      <c r="Z51" s="25"/>
      <c r="AA51" s="25"/>
      <c r="AB51" s="25"/>
      <c r="AC51" s="29"/>
      <c r="AD51" s="22"/>
      <c r="AE51" s="25"/>
      <c r="AF51" s="25"/>
      <c r="AG51" s="25"/>
    </row>
    <row r="52" spans="1:33" ht="24.95" customHeight="1">
      <c r="A52" s="3"/>
      <c r="F52" s="4"/>
      <c r="G52" s="4"/>
      <c r="H52" s="1"/>
      <c r="K52" s="5"/>
      <c r="P52">
        <f>P51*100/P50-100</f>
        <v>-2.8139783708594734</v>
      </c>
      <c r="Q52" s="4"/>
      <c r="R52" s="4"/>
    </row>
    <row r="53" spans="1:33" ht="24.95" customHeight="1">
      <c r="A53" s="3"/>
      <c r="B53" s="62" t="s">
        <v>159</v>
      </c>
      <c r="C53" s="47"/>
      <c r="F53" s="4"/>
      <c r="G53" s="4"/>
      <c r="H53" s="164" t="s">
        <v>160</v>
      </c>
      <c r="I53" s="144"/>
      <c r="J53" s="144"/>
      <c r="K53" s="144"/>
      <c r="L53" s="144"/>
      <c r="Q53" s="4">
        <f>77000*15</f>
        <v>1155000</v>
      </c>
      <c r="R53" s="51" t="s">
        <v>82</v>
      </c>
    </row>
    <row r="54" spans="1:33" ht="24.95" customHeight="1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49"/>
      <c r="N54" s="49"/>
      <c r="Q54" s="50">
        <f>Q53/10000</f>
        <v>115.5</v>
      </c>
      <c r="R54" s="4"/>
    </row>
    <row r="55" spans="1:33" ht="24.95" customHeight="1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48"/>
      <c r="N55" s="48"/>
    </row>
    <row r="56" spans="1:33" ht="24.9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48"/>
      <c r="N56" s="48"/>
    </row>
    <row r="57" spans="1:33" ht="24.9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48"/>
      <c r="N57" s="48"/>
    </row>
    <row r="58" spans="1:33" ht="24.95" customHeight="1">
      <c r="A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33" ht="24.95" customHeight="1">
      <c r="A59" s="3"/>
      <c r="F59" s="4"/>
      <c r="G59" s="4"/>
    </row>
    <row r="60" spans="1:33" ht="24.95" customHeight="1">
      <c r="F60" s="4"/>
      <c r="G60" s="4"/>
    </row>
    <row r="61" spans="1:33">
      <c r="F61" s="4"/>
      <c r="G61" s="4"/>
    </row>
    <row r="62" spans="1:33">
      <c r="C62" s="8"/>
      <c r="D62" s="8"/>
      <c r="F62" s="4"/>
      <c r="G62" s="4"/>
    </row>
    <row r="63" spans="1:33">
      <c r="F63" s="4"/>
      <c r="G63" s="4"/>
    </row>
    <row r="64" spans="1:33">
      <c r="F64" s="4"/>
      <c r="G64" s="4"/>
    </row>
    <row r="65" spans="6:7">
      <c r="F65" s="4"/>
      <c r="G65" s="4"/>
    </row>
  </sheetData>
  <mergeCells count="21">
    <mergeCell ref="A11:A14"/>
    <mergeCell ref="E17:E18"/>
    <mergeCell ref="D17:D18"/>
    <mergeCell ref="G17:G18"/>
    <mergeCell ref="A2:L3"/>
    <mergeCell ref="F5:L5"/>
    <mergeCell ref="F6:L6"/>
    <mergeCell ref="F7:L7"/>
    <mergeCell ref="A9:L9"/>
    <mergeCell ref="A55:L55"/>
    <mergeCell ref="I17:I18"/>
    <mergeCell ref="J17:J18"/>
    <mergeCell ref="K17:K18"/>
    <mergeCell ref="L17:L18"/>
    <mergeCell ref="H17:H18"/>
    <mergeCell ref="H53:L53"/>
    <mergeCell ref="A51:J51"/>
    <mergeCell ref="F17:F18"/>
    <mergeCell ref="A54:L54"/>
    <mergeCell ref="A20:A21"/>
    <mergeCell ref="B17:B18"/>
  </mergeCells>
  <pageMargins left="0.7" right="0.7" top="0.75" bottom="0.75" header="0.3" footer="0.3"/>
  <pageSetup paperSize="9" scale="84" orientation="landscape" horizontalDpi="1200" verticalDpi="1200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8"/>
  <sheetViews>
    <sheetView view="pageBreakPreview" topLeftCell="A25" zoomScale="115" zoomScaleNormal="90" zoomScaleSheetLayoutView="115" workbookViewId="0">
      <selection activeCell="C33" sqref="C33"/>
    </sheetView>
  </sheetViews>
  <sheetFormatPr defaultRowHeight="12.75"/>
  <cols>
    <col min="1" max="1" width="3.85546875" customWidth="1"/>
    <col min="2" max="2" width="9.28515625" style="2" customWidth="1"/>
    <col min="3" max="3" width="36.85546875" customWidth="1"/>
    <col min="4" max="4" width="14" customWidth="1"/>
    <col min="5" max="5" width="10.42578125" customWidth="1"/>
    <col min="6" max="6" width="8.42578125" customWidth="1"/>
    <col min="7" max="7" width="12.5703125" customWidth="1"/>
    <col min="8" max="8" width="12.140625" customWidth="1"/>
    <col min="9" max="9" width="7.140625" customWidth="1"/>
    <col min="10" max="10" width="14.85546875" customWidth="1"/>
    <col min="11" max="11" width="13.85546875" customWidth="1"/>
    <col min="12" max="12" width="13.28515625" customWidth="1"/>
    <col min="13" max="13" width="9.42578125" customWidth="1"/>
    <col min="14" max="14" width="5.7109375" customWidth="1"/>
    <col min="15" max="15" width="10.140625" customWidth="1"/>
    <col min="16" max="16" width="13" customWidth="1"/>
    <col min="17" max="18" width="10.42578125" customWidth="1"/>
    <col min="19" max="19" width="9" customWidth="1"/>
    <col min="20" max="20" width="7.85546875" customWidth="1"/>
    <col min="21" max="22" width="12.5703125" customWidth="1"/>
    <col min="23" max="23" width="8.28515625" customWidth="1"/>
    <col min="24" max="24" width="10" customWidth="1"/>
  </cols>
  <sheetData>
    <row r="1" spans="1:33">
      <c r="A1" s="46" t="s">
        <v>136</v>
      </c>
    </row>
    <row r="2" spans="1:33">
      <c r="A2" s="134" t="s">
        <v>92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33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5" spans="1:33">
      <c r="F5" s="141" t="s">
        <v>5</v>
      </c>
      <c r="G5" s="141"/>
      <c r="H5" s="141"/>
      <c r="I5" s="141"/>
      <c r="J5" s="141"/>
      <c r="K5" s="141"/>
      <c r="L5" s="141"/>
      <c r="M5" s="7"/>
      <c r="N5" s="7"/>
      <c r="O5" s="7"/>
      <c r="P5" s="7"/>
      <c r="Q5" s="7"/>
      <c r="R5" s="7"/>
    </row>
    <row r="6" spans="1:33">
      <c r="F6" s="141" t="s">
        <v>24</v>
      </c>
      <c r="G6" s="141"/>
      <c r="H6" s="141"/>
      <c r="I6" s="141"/>
      <c r="J6" s="141"/>
      <c r="K6" s="141"/>
      <c r="L6" s="141"/>
      <c r="M6" s="7"/>
      <c r="N6" s="7"/>
      <c r="O6" s="7"/>
      <c r="P6" s="7"/>
      <c r="Q6" s="7"/>
      <c r="R6" s="7"/>
    </row>
    <row r="7" spans="1:33">
      <c r="F7" s="141" t="s">
        <v>91</v>
      </c>
      <c r="G7" s="141"/>
      <c r="H7" s="141"/>
      <c r="I7" s="141"/>
      <c r="J7" s="141"/>
      <c r="K7" s="141"/>
      <c r="L7" s="141"/>
      <c r="M7" s="7"/>
      <c r="N7" s="7"/>
      <c r="O7" s="24"/>
      <c r="P7" s="24"/>
      <c r="Q7" s="24"/>
      <c r="R7" s="24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spans="1:33">
      <c r="F8" s="7"/>
      <c r="G8" s="7"/>
      <c r="H8" s="7"/>
      <c r="I8" s="7"/>
      <c r="J8" s="7"/>
      <c r="K8" s="7"/>
      <c r="L8" s="7"/>
      <c r="M8" s="7"/>
      <c r="N8" s="7"/>
      <c r="O8" s="24"/>
      <c r="P8" s="24"/>
      <c r="Q8" s="24"/>
      <c r="R8" s="24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spans="1:33" ht="39" customHeight="1">
      <c r="A9" s="145" t="s">
        <v>140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52"/>
      <c r="N9" s="52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3" ht="36">
      <c r="A10" s="9" t="s">
        <v>0</v>
      </c>
      <c r="B10" s="10" t="s">
        <v>1</v>
      </c>
      <c r="C10" s="11" t="s">
        <v>16</v>
      </c>
      <c r="D10" s="11" t="s">
        <v>17</v>
      </c>
      <c r="E10" s="11" t="s">
        <v>6</v>
      </c>
      <c r="F10" s="11" t="s">
        <v>7</v>
      </c>
      <c r="G10" s="17" t="s">
        <v>18</v>
      </c>
      <c r="H10" s="63" t="s">
        <v>15</v>
      </c>
      <c r="I10" s="63" t="s">
        <v>2</v>
      </c>
      <c r="J10" s="11" t="s">
        <v>8</v>
      </c>
      <c r="K10" s="63" t="s">
        <v>4</v>
      </c>
      <c r="L10" s="11" t="s">
        <v>3</v>
      </c>
      <c r="M10" s="53" t="s">
        <v>84</v>
      </c>
      <c r="N10" s="53" t="s">
        <v>85</v>
      </c>
      <c r="O10" s="34" t="s">
        <v>86</v>
      </c>
      <c r="P10" s="34" t="s">
        <v>87</v>
      </c>
      <c r="Q10" s="41" t="s">
        <v>78</v>
      </c>
      <c r="R10" s="41" t="s">
        <v>79</v>
      </c>
      <c r="S10" s="21"/>
      <c r="T10" s="21"/>
      <c r="U10" s="21"/>
      <c r="V10" s="26"/>
      <c r="W10" s="21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121.5" customHeight="1">
      <c r="A11" s="135">
        <v>1</v>
      </c>
      <c r="B11" s="10" t="s">
        <v>10</v>
      </c>
      <c r="C11" s="20" t="s">
        <v>141</v>
      </c>
      <c r="D11" s="35">
        <f>F11*720</f>
        <v>10080</v>
      </c>
      <c r="E11" s="11" t="s">
        <v>27</v>
      </c>
      <c r="F11" s="37">
        <v>14</v>
      </c>
      <c r="G11" s="30">
        <v>7.35</v>
      </c>
      <c r="H11" s="64">
        <f>G11*720</f>
        <v>5292</v>
      </c>
      <c r="I11" s="65">
        <v>8</v>
      </c>
      <c r="J11" s="14">
        <f t="shared" ref="J11:J33" si="0">H11+ROUND(H11*I11/100,2)</f>
        <v>5715.36</v>
      </c>
      <c r="K11" s="64">
        <f t="shared" ref="K11:K33" si="1">F11*H11</f>
        <v>74088</v>
      </c>
      <c r="L11" s="14">
        <f t="shared" ref="L11:L33" si="2">F11*J11</f>
        <v>80015.039999999994</v>
      </c>
      <c r="M11" s="54">
        <v>1477.4</v>
      </c>
      <c r="N11" s="54">
        <v>4.25</v>
      </c>
      <c r="O11" s="19">
        <f>M11*N11</f>
        <v>6278.9500000000007</v>
      </c>
      <c r="P11" s="19">
        <f>F11*O11</f>
        <v>87905.300000000017</v>
      </c>
      <c r="Q11" s="42"/>
      <c r="R11" s="42">
        <f>D11</f>
        <v>10080</v>
      </c>
      <c r="S11" s="27"/>
      <c r="T11" s="22"/>
      <c r="U11" s="22"/>
      <c r="V11" s="22"/>
      <c r="W11" s="22"/>
      <c r="X11" s="25"/>
      <c r="Y11" s="25"/>
      <c r="Z11" s="25"/>
      <c r="AA11" s="25"/>
      <c r="AB11" s="25"/>
      <c r="AC11" s="28"/>
      <c r="AD11" s="22"/>
      <c r="AE11" s="25"/>
      <c r="AF11" s="25"/>
      <c r="AG11" s="25"/>
    </row>
    <row r="12" spans="1:33" ht="40.5" customHeight="1">
      <c r="A12" s="137"/>
      <c r="B12" s="10" t="s">
        <v>11</v>
      </c>
      <c r="C12" s="20" t="s">
        <v>60</v>
      </c>
      <c r="D12" s="35" t="s">
        <v>88</v>
      </c>
      <c r="E12" s="11" t="s">
        <v>76</v>
      </c>
      <c r="F12" s="37">
        <f>((7*5)+(6*4))</f>
        <v>59</v>
      </c>
      <c r="G12" s="30">
        <f>0.47</f>
        <v>0.47</v>
      </c>
      <c r="H12" s="64">
        <f>G12*200</f>
        <v>94</v>
      </c>
      <c r="I12" s="65">
        <v>8</v>
      </c>
      <c r="J12" s="14">
        <f t="shared" si="0"/>
        <v>101.52</v>
      </c>
      <c r="K12" s="64">
        <f t="shared" si="1"/>
        <v>5546</v>
      </c>
      <c r="L12" s="14">
        <f t="shared" si="2"/>
        <v>5989.6799999999994</v>
      </c>
      <c r="M12" s="54">
        <v>23</v>
      </c>
      <c r="N12" s="54">
        <v>4.25</v>
      </c>
      <c r="O12" s="19">
        <f t="shared" ref="O12:O32" si="3">M12*N12</f>
        <v>97.75</v>
      </c>
      <c r="P12" s="19">
        <f t="shared" ref="P12:P32" si="4">F12*O12</f>
        <v>5767.25</v>
      </c>
      <c r="Q12" s="42"/>
      <c r="R12" s="42"/>
      <c r="S12" s="27"/>
      <c r="T12" s="22"/>
      <c r="U12" s="22"/>
      <c r="V12" s="22"/>
      <c r="W12" s="22"/>
      <c r="X12" s="25"/>
      <c r="Y12" s="25"/>
      <c r="Z12" s="25"/>
      <c r="AA12" s="25"/>
      <c r="AB12" s="25"/>
      <c r="AC12" s="28"/>
      <c r="AD12" s="22"/>
      <c r="AE12" s="25"/>
      <c r="AF12" s="25"/>
      <c r="AG12" s="25"/>
    </row>
    <row r="13" spans="1:33" ht="74.25" customHeight="1">
      <c r="A13" s="9">
        <v>2</v>
      </c>
      <c r="B13" s="10" t="s">
        <v>30</v>
      </c>
      <c r="C13" s="20" t="s">
        <v>29</v>
      </c>
      <c r="D13" s="35">
        <f>F13*90</f>
        <v>1170</v>
      </c>
      <c r="E13" s="11" t="s">
        <v>31</v>
      </c>
      <c r="F13" s="37">
        <v>13</v>
      </c>
      <c r="G13" s="30">
        <v>1</v>
      </c>
      <c r="H13" s="64">
        <f>G13*100</f>
        <v>100</v>
      </c>
      <c r="I13" s="65">
        <v>8</v>
      </c>
      <c r="J13" s="14">
        <f t="shared" si="0"/>
        <v>108</v>
      </c>
      <c r="K13" s="64">
        <f t="shared" si="1"/>
        <v>1300</v>
      </c>
      <c r="L13" s="14">
        <f t="shared" si="2"/>
        <v>1404</v>
      </c>
      <c r="M13" s="54">
        <v>23.1</v>
      </c>
      <c r="N13" s="54">
        <v>4.25</v>
      </c>
      <c r="O13" s="19">
        <f t="shared" si="3"/>
        <v>98.175000000000011</v>
      </c>
      <c r="P13" s="19">
        <f t="shared" si="4"/>
        <v>1276.2750000000001</v>
      </c>
      <c r="Q13" s="42"/>
      <c r="R13" s="43">
        <f>D13</f>
        <v>1170</v>
      </c>
      <c r="S13" s="27"/>
      <c r="T13" s="22"/>
      <c r="U13" s="22"/>
      <c r="V13" s="22"/>
      <c r="W13" s="22"/>
      <c r="X13" s="25"/>
      <c r="Y13" s="25"/>
      <c r="Z13" s="25"/>
      <c r="AA13" s="25"/>
      <c r="AB13" s="25"/>
      <c r="AC13" s="28"/>
      <c r="AD13" s="22"/>
      <c r="AE13" s="25"/>
      <c r="AF13" s="25"/>
      <c r="AG13" s="25"/>
    </row>
    <row r="14" spans="1:33" ht="61.5" customHeight="1">
      <c r="A14" s="9">
        <v>3</v>
      </c>
      <c r="B14" s="56" t="s">
        <v>83</v>
      </c>
      <c r="C14" s="38" t="s">
        <v>61</v>
      </c>
      <c r="D14" s="40" t="s">
        <v>88</v>
      </c>
      <c r="E14" s="11" t="s">
        <v>77</v>
      </c>
      <c r="F14" s="37">
        <v>13</v>
      </c>
      <c r="G14" s="30">
        <v>0.33</v>
      </c>
      <c r="H14" s="64">
        <f>G14*600</f>
        <v>198</v>
      </c>
      <c r="I14" s="65">
        <v>8</v>
      </c>
      <c r="J14" s="14">
        <f t="shared" si="0"/>
        <v>213.84</v>
      </c>
      <c r="K14" s="64">
        <f t="shared" si="1"/>
        <v>2574</v>
      </c>
      <c r="L14" s="14">
        <f t="shared" si="2"/>
        <v>2779.92</v>
      </c>
      <c r="M14" s="54">
        <v>52.4</v>
      </c>
      <c r="N14" s="54">
        <v>4.25</v>
      </c>
      <c r="O14" s="19">
        <f t="shared" si="3"/>
        <v>222.7</v>
      </c>
      <c r="P14" s="19">
        <f t="shared" si="4"/>
        <v>2895.1</v>
      </c>
      <c r="Q14" s="42"/>
      <c r="R14" s="43"/>
      <c r="S14" s="27"/>
      <c r="T14" s="22"/>
      <c r="U14" s="22"/>
      <c r="V14" s="22"/>
      <c r="W14" s="22"/>
      <c r="X14" s="25"/>
      <c r="Y14" s="25"/>
      <c r="Z14" s="25"/>
      <c r="AA14" s="25"/>
      <c r="AB14" s="25"/>
      <c r="AC14" s="28"/>
      <c r="AD14" s="22"/>
      <c r="AE14" s="25"/>
      <c r="AF14" s="25"/>
      <c r="AG14" s="25"/>
    </row>
    <row r="15" spans="1:33" ht="40.5" customHeight="1">
      <c r="A15" s="9">
        <v>4</v>
      </c>
      <c r="B15" s="158" t="s">
        <v>35</v>
      </c>
      <c r="C15" s="38" t="s">
        <v>33</v>
      </c>
      <c r="D15" s="140" t="s">
        <v>93</v>
      </c>
      <c r="E15" s="154" t="s">
        <v>32</v>
      </c>
      <c r="F15" s="156">
        <v>4</v>
      </c>
      <c r="G15" s="142">
        <v>2.0499999999999998</v>
      </c>
      <c r="H15" s="162">
        <f>G15*6*288</f>
        <v>3542.3999999999996</v>
      </c>
      <c r="I15" s="160">
        <v>8</v>
      </c>
      <c r="J15" s="148">
        <f t="shared" si="0"/>
        <v>3825.7899999999995</v>
      </c>
      <c r="K15" s="162">
        <f t="shared" si="1"/>
        <v>14169.599999999999</v>
      </c>
      <c r="L15" s="148">
        <f t="shared" si="2"/>
        <v>15303.159999999998</v>
      </c>
      <c r="M15" s="54">
        <v>950</v>
      </c>
      <c r="N15" s="54">
        <v>4.25</v>
      </c>
      <c r="O15" s="19">
        <f t="shared" si="3"/>
        <v>4037.5</v>
      </c>
      <c r="P15" s="19">
        <f t="shared" si="4"/>
        <v>16150</v>
      </c>
      <c r="Q15" s="42"/>
      <c r="R15" s="43"/>
      <c r="S15" s="27"/>
      <c r="T15" s="22"/>
      <c r="U15" s="22"/>
      <c r="V15" s="22"/>
      <c r="W15" s="22"/>
      <c r="X15" s="25"/>
      <c r="Y15" s="25"/>
      <c r="Z15" s="25"/>
      <c r="AA15" s="25"/>
      <c r="AB15" s="25"/>
      <c r="AC15" s="28"/>
      <c r="AD15" s="22"/>
      <c r="AE15" s="25"/>
      <c r="AF15" s="25"/>
      <c r="AG15" s="25"/>
    </row>
    <row r="16" spans="1:33" ht="36.75" customHeight="1">
      <c r="A16" s="9">
        <v>5</v>
      </c>
      <c r="B16" s="159"/>
      <c r="C16" s="38" t="s">
        <v>34</v>
      </c>
      <c r="D16" s="140"/>
      <c r="E16" s="155"/>
      <c r="F16" s="157"/>
      <c r="G16" s="143"/>
      <c r="H16" s="163"/>
      <c r="I16" s="161"/>
      <c r="J16" s="149"/>
      <c r="K16" s="163"/>
      <c r="L16" s="149"/>
      <c r="M16" s="54"/>
      <c r="N16" s="54">
        <v>4.25</v>
      </c>
      <c r="O16" s="19">
        <f t="shared" si="3"/>
        <v>0</v>
      </c>
      <c r="P16" s="19">
        <f t="shared" si="4"/>
        <v>0</v>
      </c>
      <c r="Q16" s="42"/>
      <c r="R16" s="43">
        <v>20</v>
      </c>
      <c r="S16" s="27"/>
      <c r="T16" s="22"/>
      <c r="U16" s="22"/>
      <c r="V16" s="22"/>
      <c r="W16" s="22"/>
      <c r="X16" s="25"/>
      <c r="Y16" s="25"/>
      <c r="Z16" s="25"/>
      <c r="AA16" s="25"/>
      <c r="AB16" s="25"/>
      <c r="AC16" s="28"/>
      <c r="AD16" s="22"/>
      <c r="AE16" s="25"/>
      <c r="AF16" s="25"/>
      <c r="AG16" s="25"/>
    </row>
    <row r="17" spans="1:33" ht="84.75" customHeight="1">
      <c r="A17" s="9">
        <v>6</v>
      </c>
      <c r="B17" s="10" t="s">
        <v>22</v>
      </c>
      <c r="C17" s="38" t="s">
        <v>142</v>
      </c>
      <c r="D17" s="36">
        <f>F17*2688</f>
        <v>29568</v>
      </c>
      <c r="E17" s="11" t="s">
        <v>137</v>
      </c>
      <c r="F17" s="37">
        <v>11</v>
      </c>
      <c r="G17" s="30">
        <v>3.15</v>
      </c>
      <c r="H17" s="64">
        <f>G17*2688</f>
        <v>8467.1999999999989</v>
      </c>
      <c r="I17" s="65">
        <v>8</v>
      </c>
      <c r="J17" s="14">
        <f t="shared" si="0"/>
        <v>9144.5799999999981</v>
      </c>
      <c r="K17" s="64">
        <f t="shared" si="1"/>
        <v>93139.199999999983</v>
      </c>
      <c r="L17" s="14">
        <f t="shared" si="2"/>
        <v>100590.37999999998</v>
      </c>
      <c r="M17" s="54">
        <v>2441.5</v>
      </c>
      <c r="N17" s="54">
        <v>4.25</v>
      </c>
      <c r="O17" s="19">
        <f t="shared" si="3"/>
        <v>10376.375</v>
      </c>
      <c r="P17" s="19">
        <f t="shared" si="4"/>
        <v>114140.125</v>
      </c>
      <c r="Q17" s="42"/>
      <c r="R17" s="43">
        <f>D17</f>
        <v>29568</v>
      </c>
      <c r="S17" s="27"/>
      <c r="T17" s="22"/>
      <c r="U17" s="22"/>
      <c r="V17" s="22"/>
      <c r="W17" s="22"/>
      <c r="X17" s="25"/>
      <c r="Y17" s="25"/>
      <c r="Z17" s="25"/>
      <c r="AA17" s="25"/>
      <c r="AB17" s="25"/>
      <c r="AC17" s="28"/>
      <c r="AD17" s="22"/>
      <c r="AE17" s="25"/>
      <c r="AF17" s="25"/>
      <c r="AG17" s="25"/>
    </row>
    <row r="18" spans="1:33" ht="95.25" customHeight="1">
      <c r="A18" s="135">
        <v>7</v>
      </c>
      <c r="B18" s="10" t="s">
        <v>139</v>
      </c>
      <c r="C18" s="38" t="s">
        <v>143</v>
      </c>
      <c r="D18" s="36">
        <f>F18*1344</f>
        <v>10752</v>
      </c>
      <c r="E18" s="11" t="s">
        <v>138</v>
      </c>
      <c r="F18" s="37">
        <v>8</v>
      </c>
      <c r="G18" s="30">
        <v>13.5</v>
      </c>
      <c r="H18" s="64">
        <f>G18*192</f>
        <v>2592</v>
      </c>
      <c r="I18" s="65">
        <v>8</v>
      </c>
      <c r="J18" s="14">
        <f t="shared" si="0"/>
        <v>2799.36</v>
      </c>
      <c r="K18" s="64">
        <f t="shared" si="1"/>
        <v>20736</v>
      </c>
      <c r="L18" s="14">
        <f t="shared" si="2"/>
        <v>22394.880000000001</v>
      </c>
      <c r="M18" s="54">
        <v>5566</v>
      </c>
      <c r="N18" s="54">
        <v>4.25</v>
      </c>
      <c r="O18" s="19">
        <f t="shared" si="3"/>
        <v>23655.5</v>
      </c>
      <c r="P18" s="19">
        <f t="shared" si="4"/>
        <v>189244</v>
      </c>
      <c r="Q18" s="42">
        <f>D18</f>
        <v>10752</v>
      </c>
      <c r="R18" s="58"/>
      <c r="S18" s="27"/>
      <c r="T18" s="22"/>
      <c r="U18" s="22"/>
      <c r="V18" s="22"/>
      <c r="W18" s="22"/>
      <c r="X18" s="25"/>
      <c r="Y18" s="25"/>
      <c r="Z18" s="25"/>
      <c r="AA18" s="25"/>
      <c r="AB18" s="25"/>
      <c r="AC18" s="28"/>
      <c r="AD18" s="22"/>
      <c r="AE18" s="25"/>
      <c r="AF18" s="25"/>
      <c r="AG18" s="25"/>
    </row>
    <row r="19" spans="1:33" ht="36" customHeight="1">
      <c r="A19" s="137"/>
      <c r="B19" s="10" t="s">
        <v>42</v>
      </c>
      <c r="C19" s="20" t="s">
        <v>144</v>
      </c>
      <c r="D19" s="36">
        <f>F19*72</f>
        <v>4032</v>
      </c>
      <c r="E19" s="11" t="s">
        <v>40</v>
      </c>
      <c r="F19" s="37">
        <v>56</v>
      </c>
      <c r="G19" s="30">
        <v>2.4500000000000002</v>
      </c>
      <c r="H19" s="64">
        <f>G19*72</f>
        <v>176.4</v>
      </c>
      <c r="I19" s="65">
        <v>8</v>
      </c>
      <c r="J19" s="14">
        <f t="shared" si="0"/>
        <v>190.51</v>
      </c>
      <c r="K19" s="64">
        <f t="shared" si="1"/>
        <v>9878.4</v>
      </c>
      <c r="L19" s="14">
        <f t="shared" si="2"/>
        <v>10668.56</v>
      </c>
      <c r="M19" s="54">
        <v>44.1</v>
      </c>
      <c r="N19" s="54">
        <v>4.25</v>
      </c>
      <c r="O19" s="19">
        <f t="shared" si="3"/>
        <v>187.42500000000001</v>
      </c>
      <c r="P19" s="19">
        <f t="shared" si="4"/>
        <v>10495.800000000001</v>
      </c>
      <c r="Q19" s="45"/>
      <c r="R19" s="58" t="s">
        <v>96</v>
      </c>
      <c r="S19" s="27"/>
      <c r="T19" s="22"/>
      <c r="U19" s="22"/>
      <c r="V19" s="22"/>
      <c r="W19" s="22"/>
      <c r="X19" s="25"/>
      <c r="Y19" s="25"/>
      <c r="Z19" s="25"/>
      <c r="AA19" s="25"/>
      <c r="AB19" s="25"/>
      <c r="AC19" s="28"/>
      <c r="AD19" s="22"/>
      <c r="AE19" s="25"/>
      <c r="AF19" s="25"/>
      <c r="AG19" s="25"/>
    </row>
    <row r="20" spans="1:33" ht="54" customHeight="1">
      <c r="A20" s="9">
        <v>8</v>
      </c>
      <c r="B20" s="10" t="s">
        <v>43</v>
      </c>
      <c r="C20" s="20" t="s">
        <v>145</v>
      </c>
      <c r="D20" s="36">
        <f>F20*72</f>
        <v>504</v>
      </c>
      <c r="E20" s="11" t="s">
        <v>40</v>
      </c>
      <c r="F20" s="37">
        <v>7</v>
      </c>
      <c r="G20" s="30">
        <v>5.4</v>
      </c>
      <c r="H20" s="64">
        <f>G20*72</f>
        <v>388.8</v>
      </c>
      <c r="I20" s="65">
        <v>8</v>
      </c>
      <c r="J20" s="14">
        <f t="shared" si="0"/>
        <v>419.90000000000003</v>
      </c>
      <c r="K20" s="64">
        <f t="shared" si="1"/>
        <v>2721.6</v>
      </c>
      <c r="L20" s="14">
        <f t="shared" si="2"/>
        <v>2939.3</v>
      </c>
      <c r="M20" s="54">
        <v>90.3</v>
      </c>
      <c r="N20" s="54">
        <v>4.25</v>
      </c>
      <c r="O20" s="19">
        <f t="shared" si="3"/>
        <v>383.77499999999998</v>
      </c>
      <c r="P20" s="19">
        <f t="shared" si="4"/>
        <v>2686.4249999999997</v>
      </c>
      <c r="Q20" s="42">
        <f>D20</f>
        <v>504</v>
      </c>
      <c r="R20" s="43"/>
      <c r="S20" s="27"/>
      <c r="T20" s="22"/>
      <c r="U20" s="22"/>
      <c r="V20" s="22"/>
      <c r="W20" s="22"/>
      <c r="X20" s="25"/>
      <c r="Y20" s="25"/>
      <c r="Z20" s="25"/>
      <c r="AA20" s="25"/>
      <c r="AB20" s="25"/>
      <c r="AC20" s="28"/>
      <c r="AD20" s="22"/>
      <c r="AE20" s="25"/>
      <c r="AF20" s="25"/>
      <c r="AG20" s="25"/>
    </row>
    <row r="21" spans="1:33" ht="118.5" customHeight="1">
      <c r="A21" s="9">
        <v>9</v>
      </c>
      <c r="B21" s="10" t="s">
        <v>74</v>
      </c>
      <c r="C21" s="39" t="s">
        <v>44</v>
      </c>
      <c r="D21" s="36">
        <f>F21*12</f>
        <v>5004</v>
      </c>
      <c r="E21" s="11" t="s">
        <v>70</v>
      </c>
      <c r="F21" s="37">
        <v>417</v>
      </c>
      <c r="G21" s="30">
        <v>36.200000000000003</v>
      </c>
      <c r="H21" s="64">
        <f>G21*12</f>
        <v>434.40000000000003</v>
      </c>
      <c r="I21" s="65">
        <v>8</v>
      </c>
      <c r="J21" s="14">
        <f t="shared" si="0"/>
        <v>469.15000000000003</v>
      </c>
      <c r="K21" s="64">
        <f t="shared" si="1"/>
        <v>181144.80000000002</v>
      </c>
      <c r="L21" s="14">
        <f t="shared" si="2"/>
        <v>195635.55000000002</v>
      </c>
      <c r="M21" s="54">
        <v>102.3</v>
      </c>
      <c r="N21" s="54">
        <v>4.25</v>
      </c>
      <c r="O21" s="19">
        <f t="shared" si="3"/>
        <v>434.77499999999998</v>
      </c>
      <c r="P21" s="19">
        <f t="shared" si="4"/>
        <v>181301.17499999999</v>
      </c>
      <c r="Q21" s="42">
        <f>D21</f>
        <v>5004</v>
      </c>
      <c r="R21" s="43"/>
      <c r="S21" s="27"/>
      <c r="T21" s="22"/>
      <c r="U21" s="22"/>
      <c r="V21" s="22"/>
      <c r="W21" s="22"/>
      <c r="X21" s="25"/>
      <c r="Y21" s="25"/>
      <c r="Z21" s="25"/>
      <c r="AA21" s="25"/>
      <c r="AB21" s="25"/>
      <c r="AC21" s="28"/>
      <c r="AD21" s="22"/>
      <c r="AE21" s="25"/>
      <c r="AF21" s="25"/>
      <c r="AG21" s="25"/>
    </row>
    <row r="22" spans="1:33" ht="52.5" customHeight="1">
      <c r="A22" s="9">
        <v>10</v>
      </c>
      <c r="B22" s="10" t="s">
        <v>73</v>
      </c>
      <c r="C22" s="20" t="s">
        <v>45</v>
      </c>
      <c r="D22" s="36">
        <f>F22*12</f>
        <v>5004</v>
      </c>
      <c r="E22" s="11" t="s">
        <v>70</v>
      </c>
      <c r="F22" s="37">
        <v>417</v>
      </c>
      <c r="G22" s="30">
        <v>33.5</v>
      </c>
      <c r="H22" s="64">
        <f>G22*12</f>
        <v>402</v>
      </c>
      <c r="I22" s="65">
        <v>8</v>
      </c>
      <c r="J22" s="14">
        <f t="shared" si="0"/>
        <v>434.15999999999997</v>
      </c>
      <c r="K22" s="64">
        <f t="shared" si="1"/>
        <v>167634</v>
      </c>
      <c r="L22" s="14">
        <f t="shared" si="2"/>
        <v>181044.72</v>
      </c>
      <c r="M22" s="54">
        <v>94.6</v>
      </c>
      <c r="N22" s="54">
        <v>4.25</v>
      </c>
      <c r="O22" s="19">
        <f t="shared" si="3"/>
        <v>402.04999999999995</v>
      </c>
      <c r="P22" s="19">
        <f t="shared" si="4"/>
        <v>167654.84999999998</v>
      </c>
      <c r="Q22" s="42">
        <f>D22</f>
        <v>5004</v>
      </c>
      <c r="R22" s="44"/>
      <c r="S22" s="27"/>
      <c r="T22" s="22"/>
      <c r="U22" s="22"/>
      <c r="V22" s="22"/>
      <c r="W22" s="22"/>
      <c r="X22" s="25"/>
      <c r="Y22" s="25"/>
      <c r="Z22" s="25"/>
      <c r="AA22" s="25"/>
      <c r="AB22" s="25"/>
      <c r="AC22" s="28"/>
      <c r="AD22" s="22"/>
      <c r="AE22" s="25"/>
      <c r="AF22" s="25"/>
      <c r="AG22" s="25"/>
    </row>
    <row r="23" spans="1:33" s="6" customFormat="1" ht="44.25" customHeight="1">
      <c r="A23" s="135">
        <v>11</v>
      </c>
      <c r="B23" s="16" t="s">
        <v>71</v>
      </c>
      <c r="C23" s="20" t="s">
        <v>46</v>
      </c>
      <c r="D23" s="36">
        <f>F23*12</f>
        <v>5004</v>
      </c>
      <c r="E23" s="11" t="s">
        <v>70</v>
      </c>
      <c r="F23" s="37">
        <v>417</v>
      </c>
      <c r="G23" s="30">
        <v>15.6</v>
      </c>
      <c r="H23" s="64">
        <f>G23*12</f>
        <v>187.2</v>
      </c>
      <c r="I23" s="65">
        <v>8</v>
      </c>
      <c r="J23" s="14">
        <f t="shared" si="0"/>
        <v>202.17999999999998</v>
      </c>
      <c r="K23" s="64">
        <f t="shared" si="1"/>
        <v>78062.399999999994</v>
      </c>
      <c r="L23" s="14">
        <f t="shared" si="2"/>
        <v>84309.06</v>
      </c>
      <c r="M23" s="54">
        <v>44</v>
      </c>
      <c r="N23" s="54">
        <v>4.25</v>
      </c>
      <c r="O23" s="19">
        <f t="shared" si="3"/>
        <v>187</v>
      </c>
      <c r="P23" s="19">
        <f t="shared" si="4"/>
        <v>77979</v>
      </c>
      <c r="Q23" s="42"/>
      <c r="R23" s="43">
        <f>D23</f>
        <v>5004</v>
      </c>
      <c r="S23" s="27"/>
      <c r="T23" s="22"/>
      <c r="U23" s="22"/>
      <c r="V23" s="22"/>
      <c r="W23" s="22"/>
      <c r="X23" s="25"/>
      <c r="Y23" s="25"/>
      <c r="Z23" s="25"/>
      <c r="AA23" s="25"/>
      <c r="AB23" s="25"/>
      <c r="AC23" s="29"/>
      <c r="AD23" s="22"/>
      <c r="AE23" s="25"/>
      <c r="AF23" s="25"/>
      <c r="AG23" s="25"/>
    </row>
    <row r="24" spans="1:33" s="6" customFormat="1" ht="44.25" customHeight="1">
      <c r="A24" s="137"/>
      <c r="B24" s="16" t="s">
        <v>72</v>
      </c>
      <c r="C24" s="20" t="s">
        <v>47</v>
      </c>
      <c r="D24" s="33">
        <f>F24*90</f>
        <v>5580</v>
      </c>
      <c r="E24" s="17" t="s">
        <v>75</v>
      </c>
      <c r="F24" s="37">
        <v>62</v>
      </c>
      <c r="G24" s="30">
        <v>19.2</v>
      </c>
      <c r="H24" s="64">
        <f>G24*90</f>
        <v>1728</v>
      </c>
      <c r="I24" s="65">
        <v>8</v>
      </c>
      <c r="J24" s="14">
        <f t="shared" si="0"/>
        <v>1866.24</v>
      </c>
      <c r="K24" s="64">
        <f t="shared" si="1"/>
        <v>107136</v>
      </c>
      <c r="L24" s="14">
        <f t="shared" si="2"/>
        <v>115706.88</v>
      </c>
      <c r="M24" s="54">
        <v>405.9</v>
      </c>
      <c r="N24" s="54">
        <v>4.25</v>
      </c>
      <c r="O24" s="19">
        <f t="shared" si="3"/>
        <v>1725.0749999999998</v>
      </c>
      <c r="P24" s="19">
        <f t="shared" si="4"/>
        <v>106954.65</v>
      </c>
      <c r="Q24" s="42"/>
      <c r="R24" s="43"/>
      <c r="S24" s="27"/>
      <c r="T24" s="22"/>
      <c r="U24" s="22"/>
      <c r="V24" s="22"/>
      <c r="W24" s="22"/>
      <c r="X24" s="25"/>
      <c r="Y24" s="25"/>
      <c r="Z24" s="25"/>
      <c r="AA24" s="25"/>
      <c r="AB24" s="25"/>
      <c r="AC24" s="29"/>
      <c r="AD24" s="22"/>
      <c r="AE24" s="25"/>
      <c r="AF24" s="25"/>
      <c r="AG24" s="25"/>
    </row>
    <row r="25" spans="1:33" s="6" customFormat="1" ht="43.5" customHeight="1">
      <c r="A25" s="9">
        <v>12</v>
      </c>
      <c r="B25" s="16" t="s">
        <v>19</v>
      </c>
      <c r="C25" s="20" t="s">
        <v>48</v>
      </c>
      <c r="D25" s="33" t="s">
        <v>88</v>
      </c>
      <c r="E25" s="17" t="s">
        <v>20</v>
      </c>
      <c r="F25" s="37">
        <v>13</v>
      </c>
      <c r="G25" s="31" t="s">
        <v>23</v>
      </c>
      <c r="H25" s="64">
        <v>530</v>
      </c>
      <c r="I25" s="65">
        <v>8</v>
      </c>
      <c r="J25" s="14">
        <f t="shared" si="0"/>
        <v>572.4</v>
      </c>
      <c r="K25" s="64">
        <f t="shared" si="1"/>
        <v>6890</v>
      </c>
      <c r="L25" s="14">
        <f t="shared" si="2"/>
        <v>7441.2</v>
      </c>
      <c r="M25" s="54">
        <v>134.4</v>
      </c>
      <c r="N25" s="54">
        <v>4.25</v>
      </c>
      <c r="O25" s="19">
        <f t="shared" si="3"/>
        <v>571.20000000000005</v>
      </c>
      <c r="P25" s="19">
        <f t="shared" si="4"/>
        <v>7425.6</v>
      </c>
      <c r="Q25" s="42"/>
      <c r="R25" s="43"/>
      <c r="S25" s="27"/>
      <c r="T25" s="22"/>
      <c r="U25" s="22"/>
      <c r="V25" s="22"/>
      <c r="W25" s="22"/>
      <c r="X25" s="25"/>
      <c r="Y25" s="25"/>
      <c r="Z25" s="25"/>
      <c r="AA25" s="25"/>
      <c r="AB25" s="25"/>
      <c r="AC25" s="29"/>
      <c r="AD25" s="22"/>
      <c r="AE25" s="25"/>
      <c r="AF25" s="25"/>
      <c r="AG25" s="25"/>
    </row>
    <row r="26" spans="1:33" s="6" customFormat="1" ht="30" customHeight="1">
      <c r="A26" s="9">
        <v>13</v>
      </c>
      <c r="B26" s="16" t="s">
        <v>146</v>
      </c>
      <c r="C26" s="38" t="s">
        <v>49</v>
      </c>
      <c r="D26" s="33" t="s">
        <v>88</v>
      </c>
      <c r="E26" s="17" t="s">
        <v>148</v>
      </c>
      <c r="F26" s="37">
        <v>35</v>
      </c>
      <c r="G26" s="31">
        <v>0.55000000000000004</v>
      </c>
      <c r="H26" s="64">
        <f>G26*600</f>
        <v>330</v>
      </c>
      <c r="I26" s="65">
        <v>8</v>
      </c>
      <c r="J26" s="14">
        <f t="shared" si="0"/>
        <v>356.4</v>
      </c>
      <c r="K26" s="64">
        <f t="shared" si="1"/>
        <v>11550</v>
      </c>
      <c r="L26" s="14">
        <f t="shared" si="2"/>
        <v>12474</v>
      </c>
      <c r="M26" s="54">
        <v>75.900000000000006</v>
      </c>
      <c r="N26" s="54">
        <v>4.25</v>
      </c>
      <c r="O26" s="19">
        <f t="shared" si="3"/>
        <v>322.57500000000005</v>
      </c>
      <c r="P26" s="19">
        <f t="shared" si="4"/>
        <v>11290.125000000002</v>
      </c>
      <c r="Q26" s="42"/>
      <c r="R26" s="43"/>
      <c r="S26" s="27"/>
      <c r="T26" s="22"/>
      <c r="U26" s="22"/>
      <c r="V26" s="22"/>
      <c r="W26" s="22"/>
      <c r="X26" s="25"/>
      <c r="Y26" s="25"/>
      <c r="Z26" s="25"/>
      <c r="AA26" s="25"/>
      <c r="AB26" s="25"/>
      <c r="AC26" s="29"/>
      <c r="AD26" s="22"/>
      <c r="AE26" s="25"/>
      <c r="AF26" s="25"/>
      <c r="AG26" s="25"/>
    </row>
    <row r="27" spans="1:33" s="6" customFormat="1" ht="30" customHeight="1">
      <c r="A27" s="9">
        <v>14</v>
      </c>
      <c r="B27" s="16" t="s">
        <v>147</v>
      </c>
      <c r="C27" s="38" t="s">
        <v>50</v>
      </c>
      <c r="D27" s="33" t="s">
        <v>88</v>
      </c>
      <c r="E27" s="17" t="s">
        <v>148</v>
      </c>
      <c r="F27" s="37">
        <v>76</v>
      </c>
      <c r="G27" s="31">
        <v>0.39</v>
      </c>
      <c r="H27" s="64">
        <f>G27*600</f>
        <v>234</v>
      </c>
      <c r="I27" s="65">
        <v>8</v>
      </c>
      <c r="J27" s="14">
        <f t="shared" si="0"/>
        <v>252.72</v>
      </c>
      <c r="K27" s="64">
        <f t="shared" si="1"/>
        <v>17784</v>
      </c>
      <c r="L27" s="14">
        <f t="shared" si="2"/>
        <v>19206.72</v>
      </c>
      <c r="M27" s="54">
        <v>56.1</v>
      </c>
      <c r="N27" s="54">
        <v>4.25</v>
      </c>
      <c r="O27" s="19">
        <f t="shared" si="3"/>
        <v>238.42500000000001</v>
      </c>
      <c r="P27" s="19">
        <f t="shared" si="4"/>
        <v>18120.3</v>
      </c>
      <c r="Q27" s="42"/>
      <c r="R27" s="43"/>
      <c r="S27" s="27"/>
      <c r="T27" s="22"/>
      <c r="U27" s="22"/>
      <c r="V27" s="22"/>
      <c r="W27" s="22"/>
      <c r="X27" s="25"/>
      <c r="Y27" s="25"/>
      <c r="Z27" s="25"/>
      <c r="AA27" s="25"/>
      <c r="AB27" s="25"/>
      <c r="AC27" s="29"/>
      <c r="AD27" s="22"/>
      <c r="AE27" s="25"/>
      <c r="AF27" s="25"/>
      <c r="AG27" s="25"/>
    </row>
    <row r="28" spans="1:33" s="6" customFormat="1" ht="30" customHeight="1">
      <c r="A28" s="9">
        <v>15</v>
      </c>
      <c r="B28" s="16" t="s">
        <v>153</v>
      </c>
      <c r="C28" s="38" t="s">
        <v>149</v>
      </c>
      <c r="D28" s="33" t="s">
        <v>88</v>
      </c>
      <c r="E28" s="17" t="s">
        <v>154</v>
      </c>
      <c r="F28" s="61">
        <v>1.5</v>
      </c>
      <c r="G28" s="31" t="s">
        <v>23</v>
      </c>
      <c r="H28" s="64">
        <v>390</v>
      </c>
      <c r="I28" s="65">
        <v>23</v>
      </c>
      <c r="J28" s="14">
        <f t="shared" si="0"/>
        <v>479.7</v>
      </c>
      <c r="K28" s="64">
        <f t="shared" si="1"/>
        <v>585</v>
      </c>
      <c r="L28" s="14">
        <f t="shared" si="2"/>
        <v>719.55</v>
      </c>
      <c r="M28" s="54">
        <v>91</v>
      </c>
      <c r="N28" s="54">
        <v>4.25</v>
      </c>
      <c r="O28" s="19">
        <f t="shared" si="3"/>
        <v>386.75</v>
      </c>
      <c r="P28" s="19">
        <f t="shared" si="4"/>
        <v>580.125</v>
      </c>
      <c r="Q28" s="42"/>
      <c r="R28" s="43"/>
      <c r="S28" s="27"/>
      <c r="T28" s="22"/>
      <c r="U28" s="22"/>
      <c r="V28" s="22"/>
      <c r="W28" s="22"/>
      <c r="X28" s="25"/>
      <c r="Y28" s="25"/>
      <c r="Z28" s="25"/>
      <c r="AA28" s="25"/>
      <c r="AB28" s="25"/>
      <c r="AC28" s="29"/>
      <c r="AD28" s="22"/>
      <c r="AE28" s="25"/>
      <c r="AF28" s="25"/>
      <c r="AG28" s="25"/>
    </row>
    <row r="29" spans="1:33" s="6" customFormat="1" ht="30" customHeight="1">
      <c r="A29" s="9">
        <v>16</v>
      </c>
      <c r="B29" s="16" t="s">
        <v>155</v>
      </c>
      <c r="C29" s="38" t="s">
        <v>150</v>
      </c>
      <c r="D29" s="33" t="s">
        <v>88</v>
      </c>
      <c r="E29" s="17" t="s">
        <v>13</v>
      </c>
      <c r="F29" s="37">
        <v>1</v>
      </c>
      <c r="G29" s="31" t="s">
        <v>23</v>
      </c>
      <c r="H29" s="64">
        <v>1255</v>
      </c>
      <c r="I29" s="65">
        <v>23</v>
      </c>
      <c r="J29" s="14">
        <f t="shared" si="0"/>
        <v>1543.65</v>
      </c>
      <c r="K29" s="64">
        <f t="shared" si="1"/>
        <v>1255</v>
      </c>
      <c r="L29" s="14">
        <f t="shared" si="2"/>
        <v>1543.65</v>
      </c>
      <c r="M29" s="54">
        <v>295</v>
      </c>
      <c r="N29" s="54">
        <v>4.25</v>
      </c>
      <c r="O29" s="19">
        <f t="shared" si="3"/>
        <v>1253.75</v>
      </c>
      <c r="P29" s="19">
        <f t="shared" si="4"/>
        <v>1253.75</v>
      </c>
      <c r="Q29" s="42"/>
      <c r="R29" s="43"/>
      <c r="S29" s="27"/>
      <c r="T29" s="22"/>
      <c r="U29" s="22"/>
      <c r="V29" s="22"/>
      <c r="W29" s="22"/>
      <c r="X29" s="25"/>
      <c r="Y29" s="25"/>
      <c r="Z29" s="25"/>
      <c r="AA29" s="25"/>
      <c r="AB29" s="25"/>
      <c r="AC29" s="29"/>
      <c r="AD29" s="22"/>
      <c r="AE29" s="25"/>
      <c r="AF29" s="25"/>
      <c r="AG29" s="25"/>
    </row>
    <row r="30" spans="1:33" s="6" customFormat="1" ht="30" customHeight="1">
      <c r="A30" s="9">
        <v>17</v>
      </c>
      <c r="B30" s="16" t="s">
        <v>156</v>
      </c>
      <c r="C30" s="38" t="s">
        <v>151</v>
      </c>
      <c r="D30" s="33" t="s">
        <v>88</v>
      </c>
      <c r="E30" s="17" t="s">
        <v>21</v>
      </c>
      <c r="F30" s="37">
        <v>1</v>
      </c>
      <c r="G30" s="31" t="s">
        <v>23</v>
      </c>
      <c r="H30" s="64">
        <v>85</v>
      </c>
      <c r="I30" s="65">
        <v>23</v>
      </c>
      <c r="J30" s="14">
        <f t="shared" si="0"/>
        <v>104.55</v>
      </c>
      <c r="K30" s="64">
        <f t="shared" si="1"/>
        <v>85</v>
      </c>
      <c r="L30" s="14">
        <f t="shared" si="2"/>
        <v>104.55</v>
      </c>
      <c r="M30" s="54">
        <v>20</v>
      </c>
      <c r="N30" s="54">
        <v>4.25</v>
      </c>
      <c r="O30" s="19">
        <f t="shared" si="3"/>
        <v>85</v>
      </c>
      <c r="P30" s="19">
        <f t="shared" si="4"/>
        <v>85</v>
      </c>
      <c r="Q30" s="42"/>
      <c r="R30" s="43"/>
      <c r="S30" s="27"/>
      <c r="T30" s="22"/>
      <c r="U30" s="22"/>
      <c r="V30" s="22"/>
      <c r="W30" s="22"/>
      <c r="X30" s="25"/>
      <c r="Y30" s="25"/>
      <c r="Z30" s="25"/>
      <c r="AA30" s="25"/>
      <c r="AB30" s="25"/>
      <c r="AC30" s="29"/>
      <c r="AD30" s="22"/>
      <c r="AE30" s="25"/>
      <c r="AF30" s="25"/>
      <c r="AG30" s="25"/>
    </row>
    <row r="31" spans="1:33" s="6" customFormat="1" ht="30" customHeight="1">
      <c r="A31" s="9">
        <v>18</v>
      </c>
      <c r="B31" s="16" t="s">
        <v>66</v>
      </c>
      <c r="C31" s="38" t="s">
        <v>54</v>
      </c>
      <c r="D31" s="33" t="s">
        <v>88</v>
      </c>
      <c r="E31" s="17" t="s">
        <v>67</v>
      </c>
      <c r="F31" s="37">
        <v>2</v>
      </c>
      <c r="G31" s="31" t="s">
        <v>23</v>
      </c>
      <c r="H31" s="64">
        <v>150.5</v>
      </c>
      <c r="I31" s="65">
        <v>23</v>
      </c>
      <c r="J31" s="14">
        <f t="shared" si="0"/>
        <v>185.12</v>
      </c>
      <c r="K31" s="64">
        <f t="shared" si="1"/>
        <v>301</v>
      </c>
      <c r="L31" s="14">
        <f t="shared" si="2"/>
        <v>370.24</v>
      </c>
      <c r="M31" s="54">
        <v>35</v>
      </c>
      <c r="N31" s="54">
        <v>4.25</v>
      </c>
      <c r="O31" s="19">
        <f t="shared" si="3"/>
        <v>148.75</v>
      </c>
      <c r="P31" s="19">
        <f t="shared" si="4"/>
        <v>297.5</v>
      </c>
      <c r="Q31" s="45">
        <f>SUM(Q11:Q30)</f>
        <v>21264</v>
      </c>
      <c r="R31" s="43">
        <f>SUM(R11:R30)</f>
        <v>45842</v>
      </c>
      <c r="S31" s="27"/>
      <c r="T31" s="22"/>
      <c r="U31" s="22"/>
      <c r="V31" s="22"/>
      <c r="W31" s="22"/>
      <c r="X31" s="25"/>
      <c r="Y31" s="25"/>
      <c r="Z31" s="25"/>
      <c r="AA31" s="25"/>
      <c r="AB31" s="25"/>
      <c r="AC31" s="29"/>
      <c r="AD31" s="22"/>
      <c r="AE31" s="25"/>
      <c r="AF31" s="25"/>
      <c r="AG31" s="25"/>
    </row>
    <row r="32" spans="1:33" s="6" customFormat="1" ht="30" customHeight="1">
      <c r="A32" s="9">
        <v>19</v>
      </c>
      <c r="B32" s="16" t="s">
        <v>157</v>
      </c>
      <c r="C32" s="38" t="s">
        <v>152</v>
      </c>
      <c r="D32" s="33" t="s">
        <v>88</v>
      </c>
      <c r="E32" s="17" t="s">
        <v>158</v>
      </c>
      <c r="F32" s="37">
        <v>1</v>
      </c>
      <c r="G32" s="31" t="s">
        <v>23</v>
      </c>
      <c r="H32" s="64">
        <v>807</v>
      </c>
      <c r="I32" s="65">
        <v>23</v>
      </c>
      <c r="J32" s="14">
        <f t="shared" si="0"/>
        <v>992.61</v>
      </c>
      <c r="K32" s="64">
        <f t="shared" si="1"/>
        <v>807</v>
      </c>
      <c r="L32" s="14">
        <f t="shared" si="2"/>
        <v>992.61</v>
      </c>
      <c r="M32" s="54">
        <v>190</v>
      </c>
      <c r="N32" s="54">
        <v>4.25</v>
      </c>
      <c r="O32" s="19">
        <f t="shared" si="3"/>
        <v>807.5</v>
      </c>
      <c r="P32" s="19">
        <f t="shared" si="4"/>
        <v>807.5</v>
      </c>
      <c r="Q32" s="45"/>
      <c r="R32" s="43"/>
      <c r="S32" s="27"/>
      <c r="T32" s="22"/>
      <c r="U32" s="22"/>
      <c r="V32" s="22"/>
      <c r="W32" s="22"/>
      <c r="X32" s="25"/>
      <c r="Y32" s="25"/>
      <c r="Z32" s="25"/>
      <c r="AA32" s="25"/>
      <c r="AB32" s="25"/>
      <c r="AC32" s="29"/>
      <c r="AD32" s="22"/>
      <c r="AE32" s="25"/>
      <c r="AF32" s="25"/>
      <c r="AG32" s="25"/>
    </row>
    <row r="33" spans="1:33" s="6" customFormat="1" ht="99" customHeight="1">
      <c r="A33" s="9">
        <v>20</v>
      </c>
      <c r="B33" s="16" t="s">
        <v>23</v>
      </c>
      <c r="C33" s="38" t="s">
        <v>161</v>
      </c>
      <c r="D33" s="33" t="s">
        <v>94</v>
      </c>
      <c r="E33" s="17" t="s">
        <v>80</v>
      </c>
      <c r="F33" s="37">
        <v>12</v>
      </c>
      <c r="G33" s="31" t="s">
        <v>23</v>
      </c>
      <c r="H33" s="64">
        <v>3500</v>
      </c>
      <c r="I33" s="65">
        <v>23</v>
      </c>
      <c r="J33" s="14">
        <f t="shared" si="0"/>
        <v>4305</v>
      </c>
      <c r="K33" s="64">
        <f t="shared" si="1"/>
        <v>42000</v>
      </c>
      <c r="L33" s="14">
        <f t="shared" si="2"/>
        <v>51660</v>
      </c>
      <c r="M33" s="54"/>
      <c r="N33" s="54"/>
      <c r="O33" s="19"/>
      <c r="P33" s="23">
        <f>SUM(P11:P32)</f>
        <v>1004309.85</v>
      </c>
      <c r="Q33" s="42">
        <f>Q31/600</f>
        <v>35.44</v>
      </c>
      <c r="R33" s="43">
        <f>R31/600</f>
        <v>76.403333333333336</v>
      </c>
      <c r="S33" s="27"/>
      <c r="T33" s="22"/>
      <c r="U33" s="22"/>
      <c r="V33" s="22"/>
      <c r="W33" s="22"/>
      <c r="X33" s="25"/>
      <c r="Y33" s="25"/>
      <c r="Z33" s="25"/>
      <c r="AA33" s="25"/>
      <c r="AB33" s="25"/>
      <c r="AC33" s="29"/>
      <c r="AD33" s="22"/>
      <c r="AE33" s="25"/>
      <c r="AF33" s="25"/>
      <c r="AG33" s="25"/>
    </row>
    <row r="34" spans="1:33" s="6" customFormat="1" ht="24.95" customHeight="1">
      <c r="A34" s="151" t="s">
        <v>9</v>
      </c>
      <c r="B34" s="152"/>
      <c r="C34" s="152"/>
      <c r="D34" s="152"/>
      <c r="E34" s="152"/>
      <c r="F34" s="152"/>
      <c r="G34" s="152"/>
      <c r="H34" s="152"/>
      <c r="I34" s="152"/>
      <c r="J34" s="153"/>
      <c r="K34" s="66">
        <f>SUM(K11:K33)</f>
        <v>839387</v>
      </c>
      <c r="L34" s="15">
        <f>SUM(L11:L33)</f>
        <v>913293.65</v>
      </c>
      <c r="M34" s="55"/>
      <c r="N34" s="55"/>
      <c r="O34" s="19"/>
      <c r="P34" s="19">
        <f>SUM(K11:K31)</f>
        <v>796580</v>
      </c>
      <c r="Q34" s="59"/>
      <c r="R34" s="60"/>
      <c r="S34" s="27"/>
      <c r="T34" s="22"/>
      <c r="U34" s="22"/>
      <c r="V34" s="22"/>
      <c r="W34" s="22"/>
      <c r="X34" s="25"/>
      <c r="Y34" s="25"/>
      <c r="Z34" s="25"/>
      <c r="AA34" s="25"/>
      <c r="AB34" s="25"/>
      <c r="AC34" s="29"/>
      <c r="AD34" s="22"/>
      <c r="AE34" s="25"/>
      <c r="AF34" s="25"/>
      <c r="AG34" s="25"/>
    </row>
    <row r="35" spans="1:33" ht="24.95" customHeight="1">
      <c r="A35" s="3"/>
      <c r="F35" s="4"/>
      <c r="G35" s="4"/>
      <c r="H35" s="1"/>
      <c r="K35" s="5"/>
      <c r="P35">
        <f>P34*100/P33-100</f>
        <v>-20.683840748948143</v>
      </c>
      <c r="Q35" s="4"/>
      <c r="R35" s="4"/>
    </row>
    <row r="36" spans="1:33" ht="24.95" customHeight="1">
      <c r="A36" s="3"/>
      <c r="B36" s="62" t="s">
        <v>159</v>
      </c>
      <c r="C36" s="47"/>
      <c r="F36" s="4"/>
      <c r="G36" s="4"/>
      <c r="H36" s="176" t="s">
        <v>160</v>
      </c>
      <c r="I36" s="177"/>
      <c r="J36" s="177"/>
      <c r="K36" s="177"/>
      <c r="L36" s="177"/>
      <c r="Q36" s="4">
        <f>77000*15</f>
        <v>1155000</v>
      </c>
      <c r="R36" s="51" t="s">
        <v>82</v>
      </c>
    </row>
    <row r="37" spans="1:33" ht="24.95" customHeight="1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49"/>
      <c r="N37" s="49"/>
      <c r="Q37" s="50">
        <f>Q36/10000</f>
        <v>115.5</v>
      </c>
      <c r="R37" s="4"/>
    </row>
    <row r="38" spans="1:33" ht="24.95" customHeight="1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48"/>
      <c r="N38" s="48"/>
    </row>
    <row r="39" spans="1:33" ht="24.9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48"/>
      <c r="N39" s="48"/>
    </row>
    <row r="40" spans="1:33" ht="24.9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48"/>
      <c r="N40" s="48"/>
    </row>
    <row r="41" spans="1:33" ht="24.95" customHeight="1">
      <c r="A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33" ht="24.95" customHeight="1">
      <c r="A42" s="3"/>
      <c r="F42" s="4"/>
      <c r="G42" s="4"/>
    </row>
    <row r="43" spans="1:33" ht="24.95" customHeight="1">
      <c r="F43" s="4"/>
      <c r="G43" s="4"/>
    </row>
    <row r="44" spans="1:33">
      <c r="F44" s="4"/>
      <c r="G44" s="4"/>
    </row>
    <row r="45" spans="1:33">
      <c r="C45" s="8"/>
      <c r="D45" s="8"/>
      <c r="F45" s="4"/>
      <c r="G45" s="4"/>
    </row>
    <row r="46" spans="1:33">
      <c r="F46" s="4"/>
      <c r="G46" s="4"/>
    </row>
    <row r="47" spans="1:33">
      <c r="F47" s="4"/>
      <c r="G47" s="4"/>
    </row>
    <row r="48" spans="1:33">
      <c r="F48" s="4"/>
      <c r="G48" s="4"/>
    </row>
  </sheetData>
  <mergeCells count="22">
    <mergeCell ref="A2:L3"/>
    <mergeCell ref="F5:L5"/>
    <mergeCell ref="F6:L6"/>
    <mergeCell ref="F7:L7"/>
    <mergeCell ref="A9:L9"/>
    <mergeCell ref="A11:A12"/>
    <mergeCell ref="D15:D16"/>
    <mergeCell ref="E15:E16"/>
    <mergeCell ref="F15:F16"/>
    <mergeCell ref="A37:L37"/>
    <mergeCell ref="G15:G16"/>
    <mergeCell ref="H15:H16"/>
    <mergeCell ref="A38:L38"/>
    <mergeCell ref="I15:I16"/>
    <mergeCell ref="J15:J16"/>
    <mergeCell ref="K15:K16"/>
    <mergeCell ref="L15:L16"/>
    <mergeCell ref="A18:A19"/>
    <mergeCell ref="A23:A24"/>
    <mergeCell ref="B15:B16"/>
    <mergeCell ref="H36:L36"/>
    <mergeCell ref="A34:J34"/>
  </mergeCells>
  <pageMargins left="0.70866141732283472" right="0.70866141732283472" top="0.74803149606299213" bottom="0.74803149606299213" header="0.31496062992125984" footer="0.31496062992125984"/>
  <pageSetup paperSize="9" scale="85" fitToHeight="4"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view="pageBreakPreview" topLeftCell="A77" zoomScale="80" zoomScaleNormal="80" zoomScaleSheetLayoutView="80" workbookViewId="0">
      <selection activeCell="D103" sqref="D103"/>
    </sheetView>
  </sheetViews>
  <sheetFormatPr defaultRowHeight="12.75"/>
  <cols>
    <col min="1" max="1" width="5.5703125" style="3" customWidth="1"/>
    <col min="2" max="2" width="51.140625" customWidth="1"/>
    <col min="3" max="3" width="11" customWidth="1"/>
    <col min="4" max="4" width="27.140625" customWidth="1"/>
    <col min="5" max="5" width="13.28515625" customWidth="1"/>
    <col min="6" max="6" width="13.42578125" customWidth="1"/>
    <col min="7" max="8" width="13.28515625" customWidth="1"/>
    <col min="9" max="9" width="14" customWidth="1"/>
    <col min="10" max="10" width="13.7109375" customWidth="1"/>
    <col min="11" max="11" width="9.28515625" bestFit="1" customWidth="1"/>
    <col min="12" max="12" width="13.85546875" customWidth="1"/>
  </cols>
  <sheetData>
    <row r="1" spans="1:12" ht="25.5" customHeight="1">
      <c r="A1" s="184" t="s">
        <v>231</v>
      </c>
      <c r="B1" s="184"/>
      <c r="C1" s="185" t="s">
        <v>232</v>
      </c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" customHeight="1">
      <c r="A2" s="104"/>
      <c r="B2" s="193" t="s">
        <v>229</v>
      </c>
      <c r="C2" s="193"/>
      <c r="D2" s="193"/>
      <c r="E2" s="193"/>
      <c r="F2" s="193"/>
      <c r="G2" s="105"/>
      <c r="H2" s="105"/>
      <c r="I2" s="110" t="s">
        <v>186</v>
      </c>
      <c r="J2" s="110" t="s">
        <v>186</v>
      </c>
      <c r="K2" s="110" t="s">
        <v>187</v>
      </c>
      <c r="L2" s="110" t="s">
        <v>188</v>
      </c>
    </row>
    <row r="3" spans="1:12" ht="38.25">
      <c r="A3" s="124" t="s">
        <v>0</v>
      </c>
      <c r="B3" s="124" t="s">
        <v>163</v>
      </c>
      <c r="C3" s="125" t="s">
        <v>189</v>
      </c>
      <c r="D3" s="124" t="s">
        <v>220</v>
      </c>
      <c r="E3" s="124" t="s">
        <v>221</v>
      </c>
      <c r="F3" s="125" t="s">
        <v>222</v>
      </c>
      <c r="G3" s="125" t="s">
        <v>223</v>
      </c>
      <c r="H3" s="125" t="s">
        <v>224</v>
      </c>
      <c r="I3" s="125" t="s">
        <v>225</v>
      </c>
      <c r="J3" s="124" t="s">
        <v>226</v>
      </c>
      <c r="K3" s="124" t="s">
        <v>167</v>
      </c>
      <c r="L3" s="124" t="s">
        <v>226</v>
      </c>
    </row>
    <row r="4" spans="1:12" ht="51">
      <c r="A4" s="81">
        <v>1</v>
      </c>
      <c r="B4" s="82" t="s">
        <v>168</v>
      </c>
      <c r="C4" s="83">
        <v>62000</v>
      </c>
      <c r="D4" s="123"/>
      <c r="E4" s="89"/>
      <c r="F4" s="81"/>
      <c r="G4" s="88"/>
      <c r="H4" s="88"/>
      <c r="I4" s="91"/>
      <c r="J4" s="195">
        <f>G4*I4</f>
        <v>0</v>
      </c>
      <c r="K4" s="92"/>
      <c r="L4" s="195">
        <f>J4*K4+J4</f>
        <v>0</v>
      </c>
    </row>
    <row r="5" spans="1:12" ht="33" customHeight="1">
      <c r="A5" s="81">
        <v>2</v>
      </c>
      <c r="B5" s="82" t="s">
        <v>169</v>
      </c>
      <c r="C5" s="83">
        <v>20000</v>
      </c>
      <c r="D5" s="82"/>
      <c r="E5" s="89"/>
      <c r="F5" s="90"/>
      <c r="G5" s="88"/>
      <c r="H5" s="88"/>
      <c r="I5" s="91"/>
      <c r="J5" s="195">
        <f t="shared" ref="J5:J41" si="0">G5*I5</f>
        <v>0</v>
      </c>
      <c r="K5" s="92"/>
      <c r="L5" s="195">
        <f t="shared" ref="L5:L41" si="1">J5*K5+J5</f>
        <v>0</v>
      </c>
    </row>
    <row r="6" spans="1:12" ht="33" customHeight="1">
      <c r="A6" s="81">
        <v>3</v>
      </c>
      <c r="B6" s="82" t="s">
        <v>170</v>
      </c>
      <c r="C6" s="83">
        <v>20000</v>
      </c>
      <c r="D6" s="82"/>
      <c r="E6" s="89"/>
      <c r="F6" s="90"/>
      <c r="G6" s="88"/>
      <c r="H6" s="88"/>
      <c r="I6" s="91"/>
      <c r="J6" s="195">
        <f t="shared" si="0"/>
        <v>0</v>
      </c>
      <c r="K6" s="92"/>
      <c r="L6" s="195">
        <f t="shared" si="1"/>
        <v>0</v>
      </c>
    </row>
    <row r="7" spans="1:12" ht="20.100000000000001" customHeight="1">
      <c r="A7" s="81">
        <v>4</v>
      </c>
      <c r="B7" s="82" t="s">
        <v>171</v>
      </c>
      <c r="C7" s="83">
        <v>20000</v>
      </c>
      <c r="D7" s="112"/>
      <c r="E7" s="89"/>
      <c r="F7" s="81"/>
      <c r="G7" s="88"/>
      <c r="H7" s="88"/>
      <c r="I7" s="91"/>
      <c r="J7" s="195">
        <f t="shared" si="0"/>
        <v>0</v>
      </c>
      <c r="K7" s="92"/>
      <c r="L7" s="195">
        <f t="shared" si="1"/>
        <v>0</v>
      </c>
    </row>
    <row r="8" spans="1:12" ht="33" customHeight="1">
      <c r="A8" s="81">
        <v>5</v>
      </c>
      <c r="B8" s="82" t="s">
        <v>172</v>
      </c>
      <c r="C8" s="83">
        <v>10000</v>
      </c>
      <c r="D8" s="112"/>
      <c r="E8" s="89"/>
      <c r="F8" s="90"/>
      <c r="G8" s="88"/>
      <c r="H8" s="88"/>
      <c r="I8" s="91"/>
      <c r="J8" s="195">
        <f t="shared" si="0"/>
        <v>0</v>
      </c>
      <c r="K8" s="92"/>
      <c r="L8" s="195">
        <f t="shared" si="1"/>
        <v>0</v>
      </c>
    </row>
    <row r="9" spans="1:12" ht="33" customHeight="1">
      <c r="A9" s="81">
        <v>6</v>
      </c>
      <c r="B9" s="82" t="s">
        <v>173</v>
      </c>
      <c r="C9" s="83">
        <v>10000</v>
      </c>
      <c r="D9" s="112"/>
      <c r="E9" s="89"/>
      <c r="F9" s="81"/>
      <c r="G9" s="88"/>
      <c r="H9" s="88"/>
      <c r="I9" s="91"/>
      <c r="J9" s="195">
        <f t="shared" si="0"/>
        <v>0</v>
      </c>
      <c r="K9" s="92"/>
      <c r="L9" s="195">
        <f t="shared" si="1"/>
        <v>0</v>
      </c>
    </row>
    <row r="10" spans="1:12" ht="33" customHeight="1">
      <c r="A10" s="81">
        <v>7</v>
      </c>
      <c r="B10" s="82" t="s">
        <v>174</v>
      </c>
      <c r="C10" s="83">
        <v>7000</v>
      </c>
      <c r="D10" s="112"/>
      <c r="E10" s="89"/>
      <c r="F10" s="90"/>
      <c r="G10" s="88"/>
      <c r="H10" s="88"/>
      <c r="I10" s="91"/>
      <c r="J10" s="195">
        <f t="shared" si="0"/>
        <v>0</v>
      </c>
      <c r="K10" s="92"/>
      <c r="L10" s="195">
        <f t="shared" si="1"/>
        <v>0</v>
      </c>
    </row>
    <row r="11" spans="1:12" ht="33" customHeight="1">
      <c r="A11" s="81">
        <v>8</v>
      </c>
      <c r="B11" s="82" t="s">
        <v>175</v>
      </c>
      <c r="C11" s="83">
        <v>100</v>
      </c>
      <c r="D11" s="112"/>
      <c r="E11" s="89"/>
      <c r="F11" s="90"/>
      <c r="G11" s="88"/>
      <c r="H11" s="88"/>
      <c r="I11" s="91"/>
      <c r="J11" s="195">
        <f t="shared" si="0"/>
        <v>0</v>
      </c>
      <c r="K11" s="92"/>
      <c r="L11" s="195">
        <f t="shared" si="1"/>
        <v>0</v>
      </c>
    </row>
    <row r="12" spans="1:12" ht="33" customHeight="1">
      <c r="A12" s="81">
        <v>9</v>
      </c>
      <c r="B12" s="82" t="s">
        <v>176</v>
      </c>
      <c r="C12" s="95">
        <v>1000</v>
      </c>
      <c r="D12" s="112"/>
      <c r="E12" s="89"/>
      <c r="F12" s="90"/>
      <c r="G12" s="88"/>
      <c r="H12" s="88"/>
      <c r="I12" s="91"/>
      <c r="J12" s="195">
        <f t="shared" si="0"/>
        <v>0</v>
      </c>
      <c r="K12" s="92"/>
      <c r="L12" s="195">
        <f t="shared" si="1"/>
        <v>0</v>
      </c>
    </row>
    <row r="13" spans="1:12" ht="33" customHeight="1">
      <c r="A13" s="81">
        <v>10</v>
      </c>
      <c r="B13" s="82" t="s">
        <v>177</v>
      </c>
      <c r="C13" s="95">
        <v>1000</v>
      </c>
      <c r="D13" s="112"/>
      <c r="E13" s="89"/>
      <c r="F13" s="90"/>
      <c r="G13" s="88"/>
      <c r="H13" s="88"/>
      <c r="I13" s="91"/>
      <c r="J13" s="195">
        <f t="shared" si="0"/>
        <v>0</v>
      </c>
      <c r="K13" s="92"/>
      <c r="L13" s="195">
        <f t="shared" si="1"/>
        <v>0</v>
      </c>
    </row>
    <row r="14" spans="1:12" ht="33" customHeight="1">
      <c r="A14" s="81">
        <v>11</v>
      </c>
      <c r="B14" s="82" t="s">
        <v>178</v>
      </c>
      <c r="C14" s="83">
        <v>400</v>
      </c>
      <c r="D14" s="112"/>
      <c r="E14" s="89"/>
      <c r="F14" s="90"/>
      <c r="G14" s="88"/>
      <c r="H14" s="88"/>
      <c r="I14" s="91"/>
      <c r="J14" s="195">
        <f t="shared" si="0"/>
        <v>0</v>
      </c>
      <c r="K14" s="92"/>
      <c r="L14" s="195">
        <f t="shared" si="1"/>
        <v>0</v>
      </c>
    </row>
    <row r="15" spans="1:12" ht="33" customHeight="1">
      <c r="A15" s="81">
        <v>12</v>
      </c>
      <c r="B15" s="82" t="s">
        <v>179</v>
      </c>
      <c r="C15" s="83">
        <v>400</v>
      </c>
      <c r="D15" s="112"/>
      <c r="E15" s="89"/>
      <c r="F15" s="90"/>
      <c r="G15" s="88"/>
      <c r="H15" s="88"/>
      <c r="I15" s="91"/>
      <c r="J15" s="195">
        <f t="shared" si="0"/>
        <v>0</v>
      </c>
      <c r="K15" s="92"/>
      <c r="L15" s="195">
        <f t="shared" si="1"/>
        <v>0</v>
      </c>
    </row>
    <row r="16" spans="1:12" ht="33" customHeight="1">
      <c r="A16" s="81">
        <v>13</v>
      </c>
      <c r="B16" s="82" t="s">
        <v>180</v>
      </c>
      <c r="C16" s="83">
        <v>1000</v>
      </c>
      <c r="D16" s="112"/>
      <c r="E16" s="89"/>
      <c r="F16" s="90"/>
      <c r="G16" s="88"/>
      <c r="H16" s="88"/>
      <c r="I16" s="91"/>
      <c r="J16" s="195">
        <f t="shared" si="0"/>
        <v>0</v>
      </c>
      <c r="K16" s="92"/>
      <c r="L16" s="195">
        <f t="shared" si="1"/>
        <v>0</v>
      </c>
    </row>
    <row r="17" spans="1:12" ht="33" customHeight="1">
      <c r="A17" s="81">
        <v>14</v>
      </c>
      <c r="B17" s="82" t="s">
        <v>181</v>
      </c>
      <c r="C17" s="83">
        <v>1000</v>
      </c>
      <c r="D17" s="112"/>
      <c r="E17" s="89"/>
      <c r="F17" s="90"/>
      <c r="G17" s="88"/>
      <c r="H17" s="88"/>
      <c r="I17" s="91"/>
      <c r="J17" s="195">
        <f t="shared" si="0"/>
        <v>0</v>
      </c>
      <c r="K17" s="92"/>
      <c r="L17" s="195">
        <f t="shared" si="1"/>
        <v>0</v>
      </c>
    </row>
    <row r="18" spans="1:12" ht="33" customHeight="1">
      <c r="A18" s="81">
        <v>15</v>
      </c>
      <c r="B18" s="82" t="s">
        <v>182</v>
      </c>
      <c r="C18" s="83">
        <v>700</v>
      </c>
      <c r="D18" s="112"/>
      <c r="E18" s="89"/>
      <c r="F18" s="90"/>
      <c r="G18" s="88"/>
      <c r="H18" s="88"/>
      <c r="I18" s="91"/>
      <c r="J18" s="195">
        <f t="shared" si="0"/>
        <v>0</v>
      </c>
      <c r="K18" s="92"/>
      <c r="L18" s="195">
        <f t="shared" si="1"/>
        <v>0</v>
      </c>
    </row>
    <row r="19" spans="1:12" ht="33" customHeight="1">
      <c r="A19" s="81">
        <v>16</v>
      </c>
      <c r="B19" s="82" t="s">
        <v>183</v>
      </c>
      <c r="C19" s="83">
        <v>120</v>
      </c>
      <c r="D19" s="112"/>
      <c r="E19" s="89"/>
      <c r="F19" s="90"/>
      <c r="G19" s="88"/>
      <c r="H19" s="88"/>
      <c r="I19" s="91"/>
      <c r="J19" s="195">
        <f t="shared" si="0"/>
        <v>0</v>
      </c>
      <c r="K19" s="92"/>
      <c r="L19" s="195">
        <f t="shared" si="1"/>
        <v>0</v>
      </c>
    </row>
    <row r="20" spans="1:12" ht="33" customHeight="1">
      <c r="A20" s="81">
        <v>17</v>
      </c>
      <c r="B20" s="82" t="s">
        <v>184</v>
      </c>
      <c r="C20" s="83">
        <v>400</v>
      </c>
      <c r="D20" s="112"/>
      <c r="E20" s="89"/>
      <c r="F20" s="90"/>
      <c r="G20" s="88"/>
      <c r="H20" s="88"/>
      <c r="I20" s="91"/>
      <c r="J20" s="195">
        <f t="shared" si="0"/>
        <v>0</v>
      </c>
      <c r="K20" s="92"/>
      <c r="L20" s="195">
        <f t="shared" si="1"/>
        <v>0</v>
      </c>
    </row>
    <row r="21" spans="1:12" ht="33" customHeight="1">
      <c r="A21" s="81">
        <v>18</v>
      </c>
      <c r="B21" s="82" t="s">
        <v>185</v>
      </c>
      <c r="C21" s="83">
        <v>120</v>
      </c>
      <c r="D21" s="80"/>
      <c r="E21" s="89"/>
      <c r="F21" s="90"/>
      <c r="G21" s="88"/>
      <c r="H21" s="88"/>
      <c r="I21" s="91"/>
      <c r="J21" s="195">
        <f t="shared" si="0"/>
        <v>0</v>
      </c>
      <c r="K21" s="92"/>
      <c r="L21" s="195">
        <f t="shared" si="1"/>
        <v>0</v>
      </c>
    </row>
    <row r="22" spans="1:12" ht="33" customHeight="1">
      <c r="A22" s="81">
        <v>19</v>
      </c>
      <c r="B22" s="84" t="s">
        <v>190</v>
      </c>
      <c r="C22" s="83">
        <v>120</v>
      </c>
      <c r="D22" s="112"/>
      <c r="E22" s="89"/>
      <c r="F22" s="90"/>
      <c r="G22" s="88"/>
      <c r="H22" s="88"/>
      <c r="I22" s="91"/>
      <c r="J22" s="195">
        <f t="shared" si="0"/>
        <v>0</v>
      </c>
      <c r="K22" s="92"/>
      <c r="L22" s="195">
        <f t="shared" si="1"/>
        <v>0</v>
      </c>
    </row>
    <row r="23" spans="1:12" ht="25.5">
      <c r="A23" s="81">
        <v>20</v>
      </c>
      <c r="B23" s="82" t="s">
        <v>191</v>
      </c>
      <c r="C23" s="95">
        <v>700</v>
      </c>
      <c r="D23" s="94"/>
      <c r="E23" s="89"/>
      <c r="F23" s="90"/>
      <c r="G23" s="88"/>
      <c r="H23" s="88"/>
      <c r="I23" s="91"/>
      <c r="J23" s="195">
        <f t="shared" si="0"/>
        <v>0</v>
      </c>
      <c r="K23" s="92"/>
      <c r="L23" s="195">
        <f t="shared" si="1"/>
        <v>0</v>
      </c>
    </row>
    <row r="24" spans="1:12" ht="25.5">
      <c r="A24" s="81">
        <v>21</v>
      </c>
      <c r="B24" s="82" t="s">
        <v>192</v>
      </c>
      <c r="C24" s="95">
        <v>700</v>
      </c>
      <c r="D24" s="80"/>
      <c r="E24" s="89"/>
      <c r="F24" s="90"/>
      <c r="G24" s="88"/>
      <c r="H24" s="88"/>
      <c r="I24" s="91"/>
      <c r="J24" s="195">
        <f t="shared" si="0"/>
        <v>0</v>
      </c>
      <c r="K24" s="92"/>
      <c r="L24" s="195">
        <f t="shared" si="1"/>
        <v>0</v>
      </c>
    </row>
    <row r="25" spans="1:12" ht="25.5">
      <c r="A25" s="81">
        <v>22</v>
      </c>
      <c r="B25" s="82" t="s">
        <v>193</v>
      </c>
      <c r="C25" s="95">
        <v>1000</v>
      </c>
      <c r="D25" s="112"/>
      <c r="E25" s="89"/>
      <c r="F25" s="90"/>
      <c r="G25" s="88"/>
      <c r="H25" s="88"/>
      <c r="I25" s="91"/>
      <c r="J25" s="195">
        <f t="shared" si="0"/>
        <v>0</v>
      </c>
      <c r="K25" s="92"/>
      <c r="L25" s="195">
        <f t="shared" si="1"/>
        <v>0</v>
      </c>
    </row>
    <row r="26" spans="1:12" ht="25.5">
      <c r="A26" s="81">
        <v>23</v>
      </c>
      <c r="B26" s="82" t="s">
        <v>194</v>
      </c>
      <c r="C26" s="95">
        <v>1000</v>
      </c>
      <c r="D26" s="112"/>
      <c r="E26" s="89"/>
      <c r="F26" s="90"/>
      <c r="G26" s="88"/>
      <c r="H26" s="88"/>
      <c r="I26" s="91"/>
      <c r="J26" s="195">
        <f t="shared" si="0"/>
        <v>0</v>
      </c>
      <c r="K26" s="92"/>
      <c r="L26" s="195">
        <f t="shared" si="1"/>
        <v>0</v>
      </c>
    </row>
    <row r="27" spans="1:12" ht="33" customHeight="1">
      <c r="A27" s="81">
        <v>24</v>
      </c>
      <c r="B27" s="84" t="s">
        <v>195</v>
      </c>
      <c r="C27" s="83">
        <v>2200</v>
      </c>
      <c r="D27" s="112"/>
      <c r="E27" s="89"/>
      <c r="F27" s="81"/>
      <c r="G27" s="88"/>
      <c r="H27" s="88"/>
      <c r="I27" s="91"/>
      <c r="J27" s="195">
        <f t="shared" si="0"/>
        <v>0</v>
      </c>
      <c r="K27" s="92"/>
      <c r="L27" s="195">
        <f t="shared" si="1"/>
        <v>0</v>
      </c>
    </row>
    <row r="28" spans="1:12" ht="33" customHeight="1">
      <c r="A28" s="81">
        <v>25</v>
      </c>
      <c r="B28" s="84" t="s">
        <v>196</v>
      </c>
      <c r="C28" s="83">
        <v>2200</v>
      </c>
      <c r="D28" s="112"/>
      <c r="E28" s="89"/>
      <c r="F28" s="81"/>
      <c r="G28" s="88"/>
      <c r="H28" s="88"/>
      <c r="I28" s="91"/>
      <c r="J28" s="195">
        <f t="shared" si="0"/>
        <v>0</v>
      </c>
      <c r="K28" s="92"/>
      <c r="L28" s="195">
        <f t="shared" si="1"/>
        <v>0</v>
      </c>
    </row>
    <row r="29" spans="1:12" ht="51">
      <c r="A29" s="81">
        <v>26</v>
      </c>
      <c r="B29" s="85" t="s">
        <v>197</v>
      </c>
      <c r="C29" s="83"/>
      <c r="D29" s="87"/>
      <c r="E29" s="87"/>
      <c r="F29" s="87"/>
      <c r="G29" s="87"/>
      <c r="H29" s="87"/>
      <c r="I29" s="87"/>
      <c r="J29" s="195">
        <f t="shared" si="0"/>
        <v>0</v>
      </c>
      <c r="K29" s="92"/>
      <c r="L29" s="195">
        <f t="shared" si="1"/>
        <v>0</v>
      </c>
    </row>
    <row r="30" spans="1:12" ht="20.100000000000001" customHeight="1">
      <c r="A30" s="81" t="s">
        <v>214</v>
      </c>
      <c r="B30" s="93" t="s">
        <v>207</v>
      </c>
      <c r="C30" s="83"/>
      <c r="D30" s="112"/>
      <c r="E30" s="89"/>
      <c r="F30" s="81"/>
      <c r="G30" s="96"/>
      <c r="H30" s="96"/>
      <c r="I30" s="91"/>
      <c r="J30" s="195">
        <f t="shared" si="0"/>
        <v>0</v>
      </c>
      <c r="K30" s="92"/>
      <c r="L30" s="195">
        <f t="shared" si="1"/>
        <v>0</v>
      </c>
    </row>
    <row r="31" spans="1:12" ht="20.100000000000001" customHeight="1">
      <c r="A31" s="81" t="s">
        <v>215</v>
      </c>
      <c r="B31" s="93" t="s">
        <v>208</v>
      </c>
      <c r="C31" s="83"/>
      <c r="D31" s="112"/>
      <c r="E31" s="89"/>
      <c r="F31" s="81"/>
      <c r="G31" s="96"/>
      <c r="H31" s="96"/>
      <c r="I31" s="91"/>
      <c r="J31" s="195">
        <f t="shared" si="0"/>
        <v>0</v>
      </c>
      <c r="K31" s="92"/>
      <c r="L31" s="195">
        <f t="shared" si="1"/>
        <v>0</v>
      </c>
    </row>
    <row r="32" spans="1:12" ht="33" customHeight="1">
      <c r="A32" s="81">
        <v>27</v>
      </c>
      <c r="B32" s="85" t="s">
        <v>198</v>
      </c>
      <c r="C32" s="83"/>
      <c r="D32" s="112"/>
      <c r="E32" s="89"/>
      <c r="F32" s="81"/>
      <c r="G32" s="88"/>
      <c r="H32" s="88"/>
      <c r="I32" s="91"/>
      <c r="J32" s="195">
        <f t="shared" si="0"/>
        <v>0</v>
      </c>
      <c r="K32" s="92"/>
      <c r="L32" s="195">
        <f t="shared" si="1"/>
        <v>0</v>
      </c>
    </row>
    <row r="33" spans="1:12" ht="33" customHeight="1">
      <c r="A33" s="81">
        <v>28</v>
      </c>
      <c r="B33" s="85" t="s">
        <v>199</v>
      </c>
      <c r="C33" s="83"/>
      <c r="D33" s="87"/>
      <c r="E33" s="87"/>
      <c r="F33" s="87"/>
      <c r="G33" s="87"/>
      <c r="H33" s="87"/>
      <c r="I33" s="87"/>
      <c r="J33" s="195">
        <f t="shared" si="0"/>
        <v>0</v>
      </c>
      <c r="K33" s="92"/>
      <c r="L33" s="195">
        <f t="shared" si="1"/>
        <v>0</v>
      </c>
    </row>
    <row r="34" spans="1:12" ht="20.100000000000001" customHeight="1">
      <c r="A34" s="81" t="s">
        <v>214</v>
      </c>
      <c r="B34" s="93" t="s">
        <v>209</v>
      </c>
      <c r="C34" s="83"/>
      <c r="D34" s="112"/>
      <c r="E34" s="88"/>
      <c r="F34" s="81"/>
      <c r="G34" s="96"/>
      <c r="H34" s="96"/>
      <c r="I34" s="91"/>
      <c r="J34" s="195">
        <f t="shared" si="0"/>
        <v>0</v>
      </c>
      <c r="K34" s="92"/>
      <c r="L34" s="195">
        <f t="shared" si="1"/>
        <v>0</v>
      </c>
    </row>
    <row r="35" spans="1:12" ht="20.100000000000001" customHeight="1">
      <c r="A35" s="81" t="s">
        <v>215</v>
      </c>
      <c r="B35" s="93" t="s">
        <v>211</v>
      </c>
      <c r="C35" s="83"/>
      <c r="D35" s="112"/>
      <c r="E35" s="89"/>
      <c r="F35" s="81"/>
      <c r="G35" s="96"/>
      <c r="H35" s="96"/>
      <c r="I35" s="91"/>
      <c r="J35" s="195">
        <f t="shared" si="0"/>
        <v>0</v>
      </c>
      <c r="K35" s="92"/>
      <c r="L35" s="195">
        <f t="shared" si="1"/>
        <v>0</v>
      </c>
    </row>
    <row r="36" spans="1:12" ht="20.100000000000001" customHeight="1">
      <c r="A36" s="81" t="s">
        <v>216</v>
      </c>
      <c r="B36" s="93" t="s">
        <v>210</v>
      </c>
      <c r="C36" s="83"/>
      <c r="D36" s="112"/>
      <c r="E36" s="89"/>
      <c r="F36" s="81"/>
      <c r="G36" s="96"/>
      <c r="H36" s="96"/>
      <c r="I36" s="91"/>
      <c r="J36" s="195">
        <f t="shared" si="0"/>
        <v>0</v>
      </c>
      <c r="K36" s="92"/>
      <c r="L36" s="195">
        <f t="shared" si="1"/>
        <v>0</v>
      </c>
    </row>
    <row r="37" spans="1:12" ht="20.100000000000001" customHeight="1">
      <c r="A37" s="81" t="s">
        <v>217</v>
      </c>
      <c r="B37" s="93" t="s">
        <v>212</v>
      </c>
      <c r="C37" s="83"/>
      <c r="D37" s="112"/>
      <c r="E37" s="89"/>
      <c r="F37" s="81"/>
      <c r="G37" s="96"/>
      <c r="H37" s="96"/>
      <c r="I37" s="91"/>
      <c r="J37" s="195">
        <f t="shared" si="0"/>
        <v>0</v>
      </c>
      <c r="K37" s="92"/>
      <c r="L37" s="195">
        <f t="shared" si="1"/>
        <v>0</v>
      </c>
    </row>
    <row r="38" spans="1:12" ht="20.100000000000001" customHeight="1">
      <c r="A38" s="81" t="s">
        <v>218</v>
      </c>
      <c r="B38" s="93" t="s">
        <v>213</v>
      </c>
      <c r="C38" s="83"/>
      <c r="D38" s="112"/>
      <c r="E38" s="89"/>
      <c r="F38" s="81"/>
      <c r="G38" s="96"/>
      <c r="H38" s="96"/>
      <c r="I38" s="91"/>
      <c r="J38" s="195">
        <f t="shared" si="0"/>
        <v>0</v>
      </c>
      <c r="K38" s="92"/>
      <c r="L38" s="195">
        <f t="shared" si="1"/>
        <v>0</v>
      </c>
    </row>
    <row r="39" spans="1:12" ht="33" customHeight="1">
      <c r="A39" s="81">
        <v>29</v>
      </c>
      <c r="B39" s="85" t="s">
        <v>200</v>
      </c>
      <c r="C39" s="83"/>
      <c r="D39" s="112"/>
      <c r="E39" s="89"/>
      <c r="F39" s="81"/>
      <c r="G39" s="91"/>
      <c r="H39" s="91"/>
      <c r="I39" s="91"/>
      <c r="J39" s="195">
        <f t="shared" si="0"/>
        <v>0</v>
      </c>
      <c r="K39" s="92"/>
      <c r="L39" s="195">
        <f t="shared" si="1"/>
        <v>0</v>
      </c>
    </row>
    <row r="40" spans="1:12" ht="20.100000000000001" customHeight="1">
      <c r="A40" s="81" t="s">
        <v>214</v>
      </c>
      <c r="B40" s="93" t="s">
        <v>219</v>
      </c>
      <c r="C40" s="83"/>
      <c r="D40" s="112"/>
      <c r="E40" s="89"/>
      <c r="F40" s="81"/>
      <c r="G40" s="91"/>
      <c r="H40" s="91"/>
      <c r="I40" s="91"/>
      <c r="J40" s="195">
        <f t="shared" si="0"/>
        <v>0</v>
      </c>
      <c r="K40" s="92"/>
      <c r="L40" s="195">
        <f t="shared" si="1"/>
        <v>0</v>
      </c>
    </row>
    <row r="41" spans="1:12" ht="18.75" customHeight="1">
      <c r="A41" s="81" t="s">
        <v>215</v>
      </c>
      <c r="B41" s="93" t="s">
        <v>228</v>
      </c>
      <c r="C41" s="83"/>
      <c r="D41" s="112"/>
      <c r="E41" s="81"/>
      <c r="F41" s="81"/>
      <c r="G41" s="96"/>
      <c r="H41" s="96"/>
      <c r="I41" s="91"/>
      <c r="J41" s="195">
        <f t="shared" si="0"/>
        <v>0</v>
      </c>
      <c r="K41" s="92"/>
      <c r="L41" s="195">
        <f t="shared" si="1"/>
        <v>0</v>
      </c>
    </row>
    <row r="42" spans="1:12" ht="15" customHeight="1">
      <c r="A42" s="190" t="s">
        <v>201</v>
      </c>
      <c r="B42" s="191"/>
      <c r="C42" s="191"/>
      <c r="D42" s="191"/>
      <c r="E42" s="191"/>
      <c r="F42" s="191"/>
      <c r="G42" s="191"/>
      <c r="H42" s="191"/>
      <c r="I42" s="192"/>
      <c r="J42" s="196">
        <f>SUM(J4:J41)</f>
        <v>0</v>
      </c>
      <c r="K42" s="132" t="s">
        <v>201</v>
      </c>
      <c r="L42" s="196">
        <f>SUM(L4:L41)</f>
        <v>0</v>
      </c>
    </row>
    <row r="43" spans="1:12" ht="50.1" customHeight="1">
      <c r="A43"/>
      <c r="I43" s="115"/>
      <c r="J43" s="116"/>
      <c r="K43" s="115"/>
      <c r="L43" s="116"/>
    </row>
    <row r="44" spans="1:12" ht="15" customHeight="1">
      <c r="A44" s="193" t="s">
        <v>230</v>
      </c>
      <c r="B44" s="193"/>
      <c r="C44" s="193"/>
      <c r="D44" s="193"/>
      <c r="E44" s="193"/>
      <c r="F44" s="193"/>
      <c r="G44" s="193"/>
      <c r="H44" s="193"/>
      <c r="I44" s="110" t="s">
        <v>186</v>
      </c>
      <c r="J44" s="110" t="s">
        <v>186</v>
      </c>
      <c r="K44" s="110" t="s">
        <v>187</v>
      </c>
      <c r="L44" s="110" t="s">
        <v>188</v>
      </c>
    </row>
    <row r="45" spans="1:12" ht="15" customHeight="1">
      <c r="A45" s="194" t="s">
        <v>164</v>
      </c>
      <c r="B45" s="194"/>
      <c r="C45" s="194"/>
      <c r="D45" s="194"/>
      <c r="E45" s="194"/>
      <c r="F45" s="194"/>
      <c r="G45" s="124" t="s">
        <v>203</v>
      </c>
      <c r="H45" s="124" t="s">
        <v>204</v>
      </c>
      <c r="I45" s="124" t="s">
        <v>165</v>
      </c>
      <c r="J45" s="124" t="s">
        <v>166</v>
      </c>
      <c r="K45" s="124"/>
      <c r="L45" s="124" t="s">
        <v>166</v>
      </c>
    </row>
    <row r="46" spans="1:12" ht="15" customHeight="1">
      <c r="A46" s="181" t="s">
        <v>227</v>
      </c>
      <c r="B46" s="181"/>
      <c r="C46" s="181"/>
      <c r="D46" s="181"/>
      <c r="E46" s="181"/>
      <c r="F46" s="181"/>
      <c r="G46" s="81" t="s">
        <v>205</v>
      </c>
      <c r="H46" s="88">
        <v>24</v>
      </c>
      <c r="I46" s="91"/>
      <c r="J46" s="195">
        <f>H46*I46</f>
        <v>0</v>
      </c>
      <c r="K46" s="92">
        <v>0.23</v>
      </c>
      <c r="L46" s="195">
        <f>J46+ROUND(J46*K46,2)</f>
        <v>0</v>
      </c>
    </row>
    <row r="47" spans="1:12" ht="15" customHeight="1">
      <c r="A47"/>
      <c r="B47" s="117"/>
      <c r="C47" s="117"/>
      <c r="D47" s="118"/>
      <c r="E47" s="119"/>
      <c r="F47" s="120"/>
      <c r="G47" s="120"/>
      <c r="H47" s="120"/>
      <c r="I47" s="121"/>
      <c r="J47" s="129" t="s">
        <v>186</v>
      </c>
      <c r="K47" s="113"/>
      <c r="L47" s="129" t="s">
        <v>188</v>
      </c>
    </row>
    <row r="48" spans="1:12" ht="36.75" customHeight="1">
      <c r="A48" s="178" t="s">
        <v>233</v>
      </c>
      <c r="B48" s="178"/>
      <c r="C48" s="178"/>
      <c r="D48" s="178"/>
      <c r="E48" s="178"/>
      <c r="F48" s="178"/>
      <c r="G48" s="178"/>
      <c r="H48" s="178"/>
      <c r="I48" s="178"/>
      <c r="J48" s="126">
        <f>J42+J46</f>
        <v>0</v>
      </c>
      <c r="K48" s="127"/>
      <c r="L48" s="126">
        <f>L42+L46</f>
        <v>0</v>
      </c>
    </row>
    <row r="49" spans="1:12" ht="39.75" customHeight="1">
      <c r="A49"/>
      <c r="I49" s="113"/>
      <c r="J49" s="114"/>
    </row>
    <row r="50" spans="1:12" ht="15" customHeight="1">
      <c r="A50" s="187" t="s">
        <v>202</v>
      </c>
      <c r="B50" s="188"/>
      <c r="C50" s="188"/>
      <c r="D50" s="188"/>
      <c r="E50" s="188"/>
      <c r="F50" s="188"/>
      <c r="G50" s="188"/>
      <c r="H50" s="189"/>
      <c r="I50" s="111" t="s">
        <v>186</v>
      </c>
      <c r="J50" s="111" t="s">
        <v>186</v>
      </c>
      <c r="K50" s="101" t="s">
        <v>187</v>
      </c>
      <c r="L50" s="101" t="s">
        <v>188</v>
      </c>
    </row>
    <row r="51" spans="1:12" ht="38.25">
      <c r="A51" s="124" t="s">
        <v>0</v>
      </c>
      <c r="B51" s="124" t="s">
        <v>163</v>
      </c>
      <c r="C51" s="125" t="s">
        <v>189</v>
      </c>
      <c r="D51" s="124" t="s">
        <v>220</v>
      </c>
      <c r="E51" s="124" t="s">
        <v>221</v>
      </c>
      <c r="F51" s="125" t="s">
        <v>222</v>
      </c>
      <c r="G51" s="125" t="s">
        <v>223</v>
      </c>
      <c r="H51" s="125" t="s">
        <v>224</v>
      </c>
      <c r="I51" s="125" t="s">
        <v>225</v>
      </c>
      <c r="J51" s="124" t="s">
        <v>226</v>
      </c>
      <c r="K51" s="124" t="s">
        <v>167</v>
      </c>
      <c r="L51" s="124" t="s">
        <v>226</v>
      </c>
    </row>
    <row r="52" spans="1:12" ht="38.25">
      <c r="A52" s="100">
        <v>1</v>
      </c>
      <c r="B52" s="103" t="s">
        <v>168</v>
      </c>
      <c r="C52" s="98">
        <v>31000</v>
      </c>
      <c r="D52" s="103"/>
      <c r="E52" s="89"/>
      <c r="F52" s="81"/>
      <c r="G52" s="88"/>
      <c r="H52" s="97"/>
      <c r="I52" s="195"/>
      <c r="J52" s="195">
        <f>G52*I52</f>
        <v>0</v>
      </c>
      <c r="K52" s="92"/>
      <c r="L52" s="195">
        <f>J52*K52+J52</f>
        <v>0</v>
      </c>
    </row>
    <row r="53" spans="1:12" ht="33" customHeight="1">
      <c r="A53" s="81">
        <v>2</v>
      </c>
      <c r="B53" s="82" t="s">
        <v>169</v>
      </c>
      <c r="C53" s="83">
        <v>10000</v>
      </c>
      <c r="D53" s="84"/>
      <c r="E53" s="107"/>
      <c r="F53" s="93"/>
      <c r="G53" s="86"/>
      <c r="H53" s="86"/>
      <c r="I53" s="197"/>
      <c r="J53" s="195">
        <f t="shared" ref="J53:J89" si="2">G53*I53</f>
        <v>0</v>
      </c>
      <c r="K53" s="108"/>
      <c r="L53" s="195">
        <f t="shared" ref="L53:L89" si="3">J53*K53+J53</f>
        <v>0</v>
      </c>
    </row>
    <row r="54" spans="1:12" ht="33" customHeight="1">
      <c r="A54" s="81">
        <v>3</v>
      </c>
      <c r="B54" s="82" t="s">
        <v>170</v>
      </c>
      <c r="C54" s="83">
        <v>10000</v>
      </c>
      <c r="D54" s="84"/>
      <c r="E54" s="107"/>
      <c r="F54" s="93"/>
      <c r="G54" s="86"/>
      <c r="H54" s="86"/>
      <c r="I54" s="197"/>
      <c r="J54" s="195">
        <f t="shared" si="2"/>
        <v>0</v>
      </c>
      <c r="K54" s="108"/>
      <c r="L54" s="195">
        <f t="shared" si="3"/>
        <v>0</v>
      </c>
    </row>
    <row r="55" spans="1:12" ht="20.100000000000001" customHeight="1">
      <c r="A55" s="81">
        <v>4</v>
      </c>
      <c r="B55" s="82" t="s">
        <v>171</v>
      </c>
      <c r="C55" s="83">
        <v>10000</v>
      </c>
      <c r="D55" s="112"/>
      <c r="E55" s="89"/>
      <c r="F55" s="81"/>
      <c r="G55" s="88"/>
      <c r="H55" s="88"/>
      <c r="I55" s="195"/>
      <c r="J55" s="195">
        <f t="shared" si="2"/>
        <v>0</v>
      </c>
      <c r="K55" s="92"/>
      <c r="L55" s="195">
        <f t="shared" si="3"/>
        <v>0</v>
      </c>
    </row>
    <row r="56" spans="1:12" ht="33" customHeight="1">
      <c r="A56" s="81">
        <v>5</v>
      </c>
      <c r="B56" s="82" t="s">
        <v>172</v>
      </c>
      <c r="C56" s="83">
        <v>5000</v>
      </c>
      <c r="D56" s="112"/>
      <c r="E56" s="89"/>
      <c r="F56" s="90"/>
      <c r="G56" s="88"/>
      <c r="H56" s="88"/>
      <c r="I56" s="195"/>
      <c r="J56" s="195">
        <f t="shared" si="2"/>
        <v>0</v>
      </c>
      <c r="K56" s="92"/>
      <c r="L56" s="195">
        <f t="shared" si="3"/>
        <v>0</v>
      </c>
    </row>
    <row r="57" spans="1:12" ht="33" customHeight="1">
      <c r="A57" s="81">
        <v>6</v>
      </c>
      <c r="B57" s="82" t="s">
        <v>173</v>
      </c>
      <c r="C57" s="83">
        <v>5000</v>
      </c>
      <c r="D57" s="112"/>
      <c r="E57" s="89"/>
      <c r="F57" s="81"/>
      <c r="G57" s="88"/>
      <c r="H57" s="88"/>
      <c r="I57" s="195"/>
      <c r="J57" s="195">
        <f t="shared" si="2"/>
        <v>0</v>
      </c>
      <c r="K57" s="92"/>
      <c r="L57" s="195">
        <f t="shared" si="3"/>
        <v>0</v>
      </c>
    </row>
    <row r="58" spans="1:12" ht="33" customHeight="1">
      <c r="A58" s="100">
        <v>7</v>
      </c>
      <c r="B58" s="99" t="s">
        <v>174</v>
      </c>
      <c r="C58" s="98">
        <v>3500</v>
      </c>
      <c r="D58" s="109"/>
      <c r="E58" s="89"/>
      <c r="F58" s="90"/>
      <c r="G58" s="88"/>
      <c r="H58" s="106"/>
      <c r="I58" s="195"/>
      <c r="J58" s="195">
        <f t="shared" si="2"/>
        <v>0</v>
      </c>
      <c r="K58" s="92"/>
      <c r="L58" s="195">
        <f t="shared" si="3"/>
        <v>0</v>
      </c>
    </row>
    <row r="59" spans="1:12" ht="38.25">
      <c r="A59" s="81">
        <v>8</v>
      </c>
      <c r="B59" s="82" t="s">
        <v>175</v>
      </c>
      <c r="C59" s="83">
        <v>50</v>
      </c>
      <c r="D59" s="112"/>
      <c r="E59" s="89"/>
      <c r="F59" s="90"/>
      <c r="G59" s="88"/>
      <c r="H59" s="88"/>
      <c r="I59" s="195"/>
      <c r="J59" s="195">
        <f t="shared" si="2"/>
        <v>0</v>
      </c>
      <c r="K59" s="92"/>
      <c r="L59" s="195">
        <f t="shared" si="3"/>
        <v>0</v>
      </c>
    </row>
    <row r="60" spans="1:12" ht="33" customHeight="1">
      <c r="A60" s="81">
        <v>9</v>
      </c>
      <c r="B60" s="82" t="s">
        <v>176</v>
      </c>
      <c r="C60" s="83">
        <v>500</v>
      </c>
      <c r="D60" s="112"/>
      <c r="E60" s="89"/>
      <c r="F60" s="90"/>
      <c r="G60" s="88"/>
      <c r="H60" s="88"/>
      <c r="I60" s="195"/>
      <c r="J60" s="195">
        <f t="shared" si="2"/>
        <v>0</v>
      </c>
      <c r="K60" s="92"/>
      <c r="L60" s="195">
        <f t="shared" si="3"/>
        <v>0</v>
      </c>
    </row>
    <row r="61" spans="1:12" ht="33" customHeight="1">
      <c r="A61" s="81">
        <v>10</v>
      </c>
      <c r="B61" s="82" t="s">
        <v>177</v>
      </c>
      <c r="C61" s="83">
        <v>500</v>
      </c>
      <c r="D61" s="112"/>
      <c r="E61" s="89"/>
      <c r="F61" s="90"/>
      <c r="G61" s="88"/>
      <c r="H61" s="88"/>
      <c r="I61" s="195"/>
      <c r="J61" s="195">
        <f t="shared" si="2"/>
        <v>0</v>
      </c>
      <c r="K61" s="92"/>
      <c r="L61" s="195">
        <f t="shared" si="3"/>
        <v>0</v>
      </c>
    </row>
    <row r="62" spans="1:12" ht="33" customHeight="1">
      <c r="A62" s="81">
        <v>11</v>
      </c>
      <c r="B62" s="82" t="s">
        <v>178</v>
      </c>
      <c r="C62" s="83">
        <v>250</v>
      </c>
      <c r="D62" s="112"/>
      <c r="E62" s="89"/>
      <c r="F62" s="90"/>
      <c r="G62" s="88"/>
      <c r="H62" s="88"/>
      <c r="I62" s="195"/>
      <c r="J62" s="195">
        <f t="shared" si="2"/>
        <v>0</v>
      </c>
      <c r="K62" s="92"/>
      <c r="L62" s="195">
        <f t="shared" si="3"/>
        <v>0</v>
      </c>
    </row>
    <row r="63" spans="1:12" ht="33" customHeight="1">
      <c r="A63" s="81">
        <v>12</v>
      </c>
      <c r="B63" s="82" t="s">
        <v>179</v>
      </c>
      <c r="C63" s="83">
        <v>250</v>
      </c>
      <c r="D63" s="112"/>
      <c r="E63" s="89"/>
      <c r="F63" s="90"/>
      <c r="G63" s="88"/>
      <c r="H63" s="88"/>
      <c r="I63" s="195"/>
      <c r="J63" s="195">
        <f t="shared" si="2"/>
        <v>0</v>
      </c>
      <c r="K63" s="92"/>
      <c r="L63" s="195">
        <f t="shared" si="3"/>
        <v>0</v>
      </c>
    </row>
    <row r="64" spans="1:12" ht="33" customHeight="1">
      <c r="A64" s="81">
        <v>13</v>
      </c>
      <c r="B64" s="82" t="s">
        <v>180</v>
      </c>
      <c r="C64" s="83">
        <v>500</v>
      </c>
      <c r="D64" s="112"/>
      <c r="E64" s="89"/>
      <c r="F64" s="90"/>
      <c r="G64" s="88"/>
      <c r="H64" s="88"/>
      <c r="I64" s="195"/>
      <c r="J64" s="195">
        <f t="shared" si="2"/>
        <v>0</v>
      </c>
      <c r="K64" s="92"/>
      <c r="L64" s="195">
        <f t="shared" si="3"/>
        <v>0</v>
      </c>
    </row>
    <row r="65" spans="1:12" ht="33" customHeight="1">
      <c r="A65" s="81">
        <v>14</v>
      </c>
      <c r="B65" s="82" t="s">
        <v>181</v>
      </c>
      <c r="C65" s="83">
        <v>500</v>
      </c>
      <c r="D65" s="112"/>
      <c r="E65" s="89"/>
      <c r="F65" s="90"/>
      <c r="G65" s="88"/>
      <c r="H65" s="88"/>
      <c r="I65" s="195"/>
      <c r="J65" s="195">
        <f t="shared" si="2"/>
        <v>0</v>
      </c>
      <c r="K65" s="92"/>
      <c r="L65" s="195">
        <f t="shared" si="3"/>
        <v>0</v>
      </c>
    </row>
    <row r="66" spans="1:12" ht="33" customHeight="1">
      <c r="A66" s="81">
        <v>15</v>
      </c>
      <c r="B66" s="82" t="s">
        <v>182</v>
      </c>
      <c r="C66" s="83">
        <v>350</v>
      </c>
      <c r="D66" s="112"/>
      <c r="E66" s="89"/>
      <c r="F66" s="90"/>
      <c r="G66" s="88"/>
      <c r="H66" s="88"/>
      <c r="I66" s="195"/>
      <c r="J66" s="195">
        <f t="shared" si="2"/>
        <v>0</v>
      </c>
      <c r="K66" s="92"/>
      <c r="L66" s="195">
        <f t="shared" si="3"/>
        <v>0</v>
      </c>
    </row>
    <row r="67" spans="1:12" ht="33" customHeight="1">
      <c r="A67" s="81">
        <v>16</v>
      </c>
      <c r="B67" s="82" t="s">
        <v>183</v>
      </c>
      <c r="C67" s="83">
        <v>40</v>
      </c>
      <c r="D67" s="112"/>
      <c r="E67" s="89"/>
      <c r="F67" s="90"/>
      <c r="G67" s="88"/>
      <c r="H67" s="88"/>
      <c r="I67" s="195"/>
      <c r="J67" s="195">
        <f t="shared" si="2"/>
        <v>0</v>
      </c>
      <c r="K67" s="92"/>
      <c r="L67" s="195">
        <f t="shared" si="3"/>
        <v>0</v>
      </c>
    </row>
    <row r="68" spans="1:12" ht="33" customHeight="1">
      <c r="A68" s="81">
        <v>17</v>
      </c>
      <c r="B68" s="82" t="s">
        <v>184</v>
      </c>
      <c r="C68" s="83">
        <v>200</v>
      </c>
      <c r="D68" s="112"/>
      <c r="E68" s="89"/>
      <c r="F68" s="90"/>
      <c r="G68" s="88"/>
      <c r="H68" s="88"/>
      <c r="I68" s="195"/>
      <c r="J68" s="195">
        <f t="shared" si="2"/>
        <v>0</v>
      </c>
      <c r="K68" s="92"/>
      <c r="L68" s="195">
        <f t="shared" si="3"/>
        <v>0</v>
      </c>
    </row>
    <row r="69" spans="1:12" ht="33" customHeight="1">
      <c r="A69" s="81">
        <v>18</v>
      </c>
      <c r="B69" s="82" t="s">
        <v>185</v>
      </c>
      <c r="C69" s="83">
        <v>60</v>
      </c>
      <c r="D69" s="80"/>
      <c r="E69" s="89"/>
      <c r="F69" s="90"/>
      <c r="G69" s="88"/>
      <c r="H69" s="88"/>
      <c r="I69" s="195"/>
      <c r="J69" s="195">
        <f t="shared" si="2"/>
        <v>0</v>
      </c>
      <c r="K69" s="92"/>
      <c r="L69" s="195">
        <f t="shared" si="3"/>
        <v>0</v>
      </c>
    </row>
    <row r="70" spans="1:12" ht="33" customHeight="1">
      <c r="A70" s="81">
        <v>19</v>
      </c>
      <c r="B70" s="84" t="s">
        <v>190</v>
      </c>
      <c r="C70" s="83">
        <v>60</v>
      </c>
      <c r="D70" s="112"/>
      <c r="E70" s="89"/>
      <c r="F70" s="90"/>
      <c r="G70" s="88"/>
      <c r="H70" s="88"/>
      <c r="I70" s="195"/>
      <c r="J70" s="195">
        <f t="shared" si="2"/>
        <v>0</v>
      </c>
      <c r="K70" s="92"/>
      <c r="L70" s="195">
        <f t="shared" si="3"/>
        <v>0</v>
      </c>
    </row>
    <row r="71" spans="1:12" ht="25.5">
      <c r="A71" s="100">
        <v>20</v>
      </c>
      <c r="B71" s="99" t="s">
        <v>191</v>
      </c>
      <c r="C71" s="98">
        <v>350</v>
      </c>
      <c r="D71" s="94"/>
      <c r="E71" s="89"/>
      <c r="F71" s="90"/>
      <c r="G71" s="88"/>
      <c r="H71" s="88"/>
      <c r="I71" s="195"/>
      <c r="J71" s="195">
        <f t="shared" si="2"/>
        <v>0</v>
      </c>
      <c r="K71" s="92"/>
      <c r="L71" s="195">
        <f t="shared" si="3"/>
        <v>0</v>
      </c>
    </row>
    <row r="72" spans="1:12" ht="25.5">
      <c r="A72" s="100">
        <v>21</v>
      </c>
      <c r="B72" s="99" t="s">
        <v>192</v>
      </c>
      <c r="C72" s="98">
        <v>350</v>
      </c>
      <c r="D72" s="80"/>
      <c r="E72" s="89"/>
      <c r="F72" s="90"/>
      <c r="G72" s="88"/>
      <c r="H72" s="88"/>
      <c r="I72" s="195"/>
      <c r="J72" s="195">
        <f t="shared" si="2"/>
        <v>0</v>
      </c>
      <c r="K72" s="92"/>
      <c r="L72" s="195">
        <f t="shared" si="3"/>
        <v>0</v>
      </c>
    </row>
    <row r="73" spans="1:12" ht="25.5">
      <c r="A73" s="100">
        <v>22</v>
      </c>
      <c r="B73" s="99" t="s">
        <v>193</v>
      </c>
      <c r="C73" s="98">
        <v>500</v>
      </c>
      <c r="D73" s="112"/>
      <c r="E73" s="89"/>
      <c r="F73" s="90"/>
      <c r="G73" s="88"/>
      <c r="H73" s="88"/>
      <c r="I73" s="195"/>
      <c r="J73" s="195">
        <f t="shared" si="2"/>
        <v>0</v>
      </c>
      <c r="K73" s="92"/>
      <c r="L73" s="195">
        <f t="shared" si="3"/>
        <v>0</v>
      </c>
    </row>
    <row r="74" spans="1:12" ht="25.5">
      <c r="A74" s="100">
        <v>23</v>
      </c>
      <c r="B74" s="99" t="s">
        <v>194</v>
      </c>
      <c r="C74" s="98">
        <v>500</v>
      </c>
      <c r="D74" s="112"/>
      <c r="E74" s="89"/>
      <c r="F74" s="90"/>
      <c r="G74" s="88"/>
      <c r="H74" s="88"/>
      <c r="I74" s="195"/>
      <c r="J74" s="195">
        <f t="shared" si="2"/>
        <v>0</v>
      </c>
      <c r="K74" s="92"/>
      <c r="L74" s="195">
        <f t="shared" si="3"/>
        <v>0</v>
      </c>
    </row>
    <row r="75" spans="1:12" ht="33" customHeight="1">
      <c r="A75" s="81">
        <v>24</v>
      </c>
      <c r="B75" s="84" t="s">
        <v>195</v>
      </c>
      <c r="C75" s="83">
        <v>1100</v>
      </c>
      <c r="D75" s="112"/>
      <c r="E75" s="89"/>
      <c r="F75" s="81"/>
      <c r="G75" s="88"/>
      <c r="H75" s="88"/>
      <c r="I75" s="195"/>
      <c r="J75" s="195">
        <f t="shared" si="2"/>
        <v>0</v>
      </c>
      <c r="K75" s="92"/>
      <c r="L75" s="195">
        <f t="shared" si="3"/>
        <v>0</v>
      </c>
    </row>
    <row r="76" spans="1:12" ht="33" customHeight="1">
      <c r="A76" s="81">
        <v>25</v>
      </c>
      <c r="B76" s="84" t="s">
        <v>196</v>
      </c>
      <c r="C76" s="83">
        <v>1100</v>
      </c>
      <c r="D76" s="112"/>
      <c r="E76" s="89"/>
      <c r="F76" s="81"/>
      <c r="G76" s="88"/>
      <c r="H76" s="88"/>
      <c r="I76" s="195"/>
      <c r="J76" s="195">
        <f t="shared" si="2"/>
        <v>0</v>
      </c>
      <c r="K76" s="92"/>
      <c r="L76" s="195">
        <f t="shared" si="3"/>
        <v>0</v>
      </c>
    </row>
    <row r="77" spans="1:12" ht="51">
      <c r="A77" s="81">
        <v>26</v>
      </c>
      <c r="B77" s="85" t="s">
        <v>197</v>
      </c>
      <c r="C77" s="83"/>
      <c r="D77" s="87"/>
      <c r="E77" s="87"/>
      <c r="F77" s="87"/>
      <c r="G77" s="87"/>
      <c r="H77" s="87"/>
      <c r="I77" s="195"/>
      <c r="J77" s="195">
        <f t="shared" si="2"/>
        <v>0</v>
      </c>
      <c r="K77" s="87"/>
      <c r="L77" s="195">
        <f t="shared" si="3"/>
        <v>0</v>
      </c>
    </row>
    <row r="78" spans="1:12" ht="20.100000000000001" customHeight="1">
      <c r="A78" s="81" t="s">
        <v>214</v>
      </c>
      <c r="B78" s="93" t="s">
        <v>207</v>
      </c>
      <c r="C78" s="83"/>
      <c r="D78" s="112"/>
      <c r="E78" s="89"/>
      <c r="F78" s="81"/>
      <c r="G78" s="96"/>
      <c r="H78" s="96"/>
      <c r="I78" s="195"/>
      <c r="J78" s="195">
        <f t="shared" si="2"/>
        <v>0</v>
      </c>
      <c r="K78" s="92"/>
      <c r="L78" s="195">
        <f t="shared" si="3"/>
        <v>0</v>
      </c>
    </row>
    <row r="79" spans="1:12" ht="20.100000000000001" customHeight="1">
      <c r="A79" s="81" t="s">
        <v>215</v>
      </c>
      <c r="B79" s="93" t="s">
        <v>208</v>
      </c>
      <c r="C79" s="83"/>
      <c r="D79" s="112"/>
      <c r="E79" s="89"/>
      <c r="F79" s="81"/>
      <c r="G79" s="96"/>
      <c r="H79" s="96"/>
      <c r="I79" s="195"/>
      <c r="J79" s="195">
        <f t="shared" si="2"/>
        <v>0</v>
      </c>
      <c r="K79" s="92"/>
      <c r="L79" s="195">
        <f t="shared" si="3"/>
        <v>0</v>
      </c>
    </row>
    <row r="80" spans="1:12" ht="33" customHeight="1">
      <c r="A80" s="81">
        <v>27</v>
      </c>
      <c r="B80" s="85" t="s">
        <v>198</v>
      </c>
      <c r="C80" s="83"/>
      <c r="D80" s="112"/>
      <c r="E80" s="89"/>
      <c r="F80" s="81"/>
      <c r="G80" s="88"/>
      <c r="H80" s="88"/>
      <c r="I80" s="195"/>
      <c r="J80" s="195">
        <f t="shared" si="2"/>
        <v>0</v>
      </c>
      <c r="K80" s="92"/>
      <c r="L80" s="195">
        <f t="shared" si="3"/>
        <v>0</v>
      </c>
    </row>
    <row r="81" spans="1:12" ht="33" customHeight="1">
      <c r="A81" s="81">
        <v>28</v>
      </c>
      <c r="B81" s="85" t="s">
        <v>199</v>
      </c>
      <c r="C81" s="83"/>
      <c r="D81" s="87"/>
      <c r="E81" s="87"/>
      <c r="F81" s="87"/>
      <c r="G81" s="87"/>
      <c r="H81" s="87"/>
      <c r="I81" s="195"/>
      <c r="J81" s="195">
        <f t="shared" si="2"/>
        <v>0</v>
      </c>
      <c r="K81" s="87"/>
      <c r="L81" s="195">
        <f t="shared" si="3"/>
        <v>0</v>
      </c>
    </row>
    <row r="82" spans="1:12" ht="20.100000000000001" customHeight="1">
      <c r="A82" s="81" t="s">
        <v>214</v>
      </c>
      <c r="B82" s="93" t="s">
        <v>209</v>
      </c>
      <c r="C82" s="83"/>
      <c r="D82" s="112"/>
      <c r="E82" s="88"/>
      <c r="F82" s="81"/>
      <c r="G82" s="96"/>
      <c r="H82" s="96"/>
      <c r="I82" s="195"/>
      <c r="J82" s="195">
        <f t="shared" si="2"/>
        <v>0</v>
      </c>
      <c r="K82" s="92"/>
      <c r="L82" s="195">
        <f t="shared" si="3"/>
        <v>0</v>
      </c>
    </row>
    <row r="83" spans="1:12" ht="20.100000000000001" customHeight="1">
      <c r="A83" s="81" t="s">
        <v>215</v>
      </c>
      <c r="B83" s="93" t="s">
        <v>211</v>
      </c>
      <c r="C83" s="83"/>
      <c r="D83" s="112"/>
      <c r="E83" s="89"/>
      <c r="F83" s="81"/>
      <c r="G83" s="96"/>
      <c r="H83" s="96"/>
      <c r="I83" s="195"/>
      <c r="J83" s="195">
        <f t="shared" si="2"/>
        <v>0</v>
      </c>
      <c r="K83" s="92"/>
      <c r="L83" s="195">
        <f t="shared" si="3"/>
        <v>0</v>
      </c>
    </row>
    <row r="84" spans="1:12" ht="20.100000000000001" customHeight="1">
      <c r="A84" s="81" t="s">
        <v>216</v>
      </c>
      <c r="B84" s="93" t="s">
        <v>210</v>
      </c>
      <c r="C84" s="83"/>
      <c r="D84" s="112"/>
      <c r="E84" s="89"/>
      <c r="F84" s="81"/>
      <c r="G84" s="96"/>
      <c r="H84" s="96"/>
      <c r="I84" s="195"/>
      <c r="J84" s="195">
        <f t="shared" si="2"/>
        <v>0</v>
      </c>
      <c r="K84" s="92"/>
      <c r="L84" s="195">
        <f t="shared" si="3"/>
        <v>0</v>
      </c>
    </row>
    <row r="85" spans="1:12" ht="20.100000000000001" customHeight="1">
      <c r="A85" s="81" t="s">
        <v>217</v>
      </c>
      <c r="B85" s="93" t="s">
        <v>212</v>
      </c>
      <c r="C85" s="83"/>
      <c r="D85" s="112"/>
      <c r="E85" s="89"/>
      <c r="F85" s="81"/>
      <c r="G85" s="96"/>
      <c r="H85" s="96"/>
      <c r="I85" s="195"/>
      <c r="J85" s="195">
        <f t="shared" si="2"/>
        <v>0</v>
      </c>
      <c r="K85" s="92"/>
      <c r="L85" s="195">
        <f t="shared" si="3"/>
        <v>0</v>
      </c>
    </row>
    <row r="86" spans="1:12" ht="20.100000000000001" customHeight="1">
      <c r="A86" s="81" t="s">
        <v>218</v>
      </c>
      <c r="B86" s="93" t="s">
        <v>213</v>
      </c>
      <c r="C86" s="83"/>
      <c r="D86" s="112"/>
      <c r="E86" s="89"/>
      <c r="F86" s="81"/>
      <c r="G86" s="96"/>
      <c r="H86" s="96"/>
      <c r="I86" s="195"/>
      <c r="J86" s="195">
        <f t="shared" si="2"/>
        <v>0</v>
      </c>
      <c r="K86" s="92"/>
      <c r="L86" s="195">
        <f t="shared" si="3"/>
        <v>0</v>
      </c>
    </row>
    <row r="87" spans="1:12" ht="33" customHeight="1">
      <c r="A87" s="81">
        <v>29</v>
      </c>
      <c r="B87" s="85" t="s">
        <v>200</v>
      </c>
      <c r="C87" s="83"/>
      <c r="D87" s="87"/>
      <c r="E87" s="87"/>
      <c r="F87" s="87"/>
      <c r="G87" s="87"/>
      <c r="H87" s="87"/>
      <c r="I87" s="195"/>
      <c r="J87" s="195">
        <f t="shared" si="2"/>
        <v>0</v>
      </c>
      <c r="K87" s="87"/>
      <c r="L87" s="195">
        <f t="shared" si="3"/>
        <v>0</v>
      </c>
    </row>
    <row r="88" spans="1:12" ht="20.100000000000001" customHeight="1">
      <c r="A88" s="81" t="s">
        <v>214</v>
      </c>
      <c r="B88" s="93" t="s">
        <v>219</v>
      </c>
      <c r="C88" s="83"/>
      <c r="D88" s="102"/>
      <c r="E88" s="81"/>
      <c r="F88" s="81"/>
      <c r="G88" s="96"/>
      <c r="H88" s="96"/>
      <c r="I88" s="195"/>
      <c r="J88" s="195">
        <f t="shared" si="2"/>
        <v>0</v>
      </c>
      <c r="K88" s="92"/>
      <c r="L88" s="195">
        <f t="shared" si="3"/>
        <v>0</v>
      </c>
    </row>
    <row r="89" spans="1:12" ht="25.5">
      <c r="A89" s="81" t="s">
        <v>215</v>
      </c>
      <c r="B89" s="93" t="s">
        <v>228</v>
      </c>
      <c r="C89" s="83"/>
      <c r="D89" s="102"/>
      <c r="E89" s="81"/>
      <c r="F89" s="81"/>
      <c r="G89" s="96"/>
      <c r="H89" s="96"/>
      <c r="I89" s="195"/>
      <c r="J89" s="195">
        <f t="shared" si="2"/>
        <v>0</v>
      </c>
      <c r="K89" s="92"/>
      <c r="L89" s="195">
        <f t="shared" si="3"/>
        <v>0</v>
      </c>
    </row>
    <row r="90" spans="1:12" ht="15" customHeight="1">
      <c r="A90" s="183" t="s">
        <v>201</v>
      </c>
      <c r="B90" s="183"/>
      <c r="C90" s="183"/>
      <c r="D90" s="183"/>
      <c r="E90" s="183"/>
      <c r="F90" s="183"/>
      <c r="G90" s="183"/>
      <c r="H90" s="183"/>
      <c r="I90" s="183"/>
      <c r="J90" s="199">
        <f>SUM(J52:J89)</f>
        <v>0</v>
      </c>
      <c r="K90" s="133" t="s">
        <v>201</v>
      </c>
      <c r="L90" s="199">
        <f>SUM(L52:L89)</f>
        <v>0</v>
      </c>
    </row>
    <row r="91" spans="1:12" ht="18" customHeight="1"/>
    <row r="92" spans="1:12" ht="15" customHeight="1">
      <c r="A92" s="179" t="s">
        <v>206</v>
      </c>
      <c r="B92" s="179"/>
      <c r="C92" s="179"/>
      <c r="D92" s="179"/>
      <c r="E92" s="179"/>
      <c r="F92" s="179"/>
      <c r="G92" s="179"/>
      <c r="H92" s="179"/>
      <c r="I92" s="111" t="s">
        <v>186</v>
      </c>
      <c r="J92" s="111" t="s">
        <v>186</v>
      </c>
      <c r="K92" s="128" t="s">
        <v>187</v>
      </c>
      <c r="L92" s="111" t="s">
        <v>188</v>
      </c>
    </row>
    <row r="93" spans="1:12" ht="15" customHeight="1">
      <c r="A93" s="180" t="s">
        <v>164</v>
      </c>
      <c r="B93" s="180"/>
      <c r="C93" s="180"/>
      <c r="D93" s="180"/>
      <c r="E93" s="180"/>
      <c r="F93" s="180"/>
      <c r="G93" s="122" t="s">
        <v>203</v>
      </c>
      <c r="H93" s="122" t="s">
        <v>204</v>
      </c>
      <c r="I93" s="122" t="s">
        <v>236</v>
      </c>
      <c r="J93" s="122" t="s">
        <v>166</v>
      </c>
      <c r="K93" s="198" t="s">
        <v>167</v>
      </c>
      <c r="L93" s="122" t="s">
        <v>166</v>
      </c>
    </row>
    <row r="94" spans="1:12" ht="21.75" customHeight="1">
      <c r="A94" s="181" t="s">
        <v>227</v>
      </c>
      <c r="B94" s="181"/>
      <c r="C94" s="181"/>
      <c r="D94" s="181"/>
      <c r="E94" s="181"/>
      <c r="F94" s="181"/>
      <c r="G94" s="81" t="s">
        <v>205</v>
      </c>
      <c r="H94" s="88">
        <v>12</v>
      </c>
      <c r="I94" s="91"/>
      <c r="J94" s="195">
        <f>H94*I94</f>
        <v>0</v>
      </c>
      <c r="K94" s="92"/>
      <c r="L94" s="195">
        <f>J94+ROUND(J94*K94,2)</f>
        <v>0</v>
      </c>
    </row>
    <row r="95" spans="1:12" ht="15" customHeight="1">
      <c r="A95"/>
      <c r="B95" s="117"/>
      <c r="C95" s="117"/>
      <c r="D95" s="118"/>
      <c r="E95" s="119"/>
      <c r="F95" s="120"/>
      <c r="G95" s="120"/>
      <c r="H95" s="120"/>
      <c r="I95" s="121"/>
      <c r="J95" s="131" t="s">
        <v>186</v>
      </c>
      <c r="K95" s="113"/>
      <c r="L95" s="131" t="s">
        <v>188</v>
      </c>
    </row>
    <row r="96" spans="1:12" ht="36.75" customHeight="1">
      <c r="A96" s="182" t="s">
        <v>234</v>
      </c>
      <c r="B96" s="182"/>
      <c r="C96" s="182"/>
      <c r="D96" s="182"/>
      <c r="E96" s="182"/>
      <c r="F96" s="182"/>
      <c r="G96" s="182"/>
      <c r="H96" s="182"/>
      <c r="I96" s="182"/>
      <c r="J96" s="130">
        <f>J90+J94</f>
        <v>0</v>
      </c>
      <c r="K96" s="130"/>
      <c r="L96" s="130">
        <f>L90+L94</f>
        <v>0</v>
      </c>
    </row>
    <row r="97" spans="1:13" ht="15.75" customHeight="1"/>
    <row r="98" spans="1:13" ht="13.5" thickBot="1">
      <c r="J98" s="200" t="s">
        <v>186</v>
      </c>
      <c r="K98" s="113"/>
      <c r="L98" s="200" t="s">
        <v>188</v>
      </c>
    </row>
    <row r="99" spans="1:13" ht="36.75" customHeight="1" thickBot="1">
      <c r="A99" s="201" t="s">
        <v>235</v>
      </c>
      <c r="B99" s="202"/>
      <c r="C99" s="202"/>
      <c r="D99" s="202"/>
      <c r="E99" s="202"/>
      <c r="F99" s="202"/>
      <c r="G99" s="202"/>
      <c r="H99" s="202"/>
      <c r="I99" s="202"/>
      <c r="J99" s="203">
        <f>J48+J96</f>
        <v>0</v>
      </c>
      <c r="K99" s="204"/>
      <c r="L99" s="205">
        <f>L48+L96</f>
        <v>0</v>
      </c>
    </row>
    <row r="101" spans="1:13">
      <c r="M101" s="46"/>
    </row>
  </sheetData>
  <mergeCells count="15">
    <mergeCell ref="A99:I99"/>
    <mergeCell ref="A1:B1"/>
    <mergeCell ref="C1:L1"/>
    <mergeCell ref="A50:H50"/>
    <mergeCell ref="A42:I42"/>
    <mergeCell ref="A44:H44"/>
    <mergeCell ref="A45:F45"/>
    <mergeCell ref="A46:F46"/>
    <mergeCell ref="B2:F2"/>
    <mergeCell ref="A48:I48"/>
    <mergeCell ref="A92:H92"/>
    <mergeCell ref="A93:F93"/>
    <mergeCell ref="A94:F94"/>
    <mergeCell ref="A96:I96"/>
    <mergeCell ref="A90:I90"/>
  </mergeCells>
  <pageMargins left="0.70866141732283472" right="0.70866141732283472" top="0.94488188976377963" bottom="0.74803149606299213" header="0.51181102362204722" footer="0.31496062992125984"/>
  <pageSetup paperSize="9" scale="67" orientation="landscape" r:id="rId1"/>
  <headerFooter>
    <oddHeader xml:space="preserve">&amp;LZP 4/2019&amp;C WYCENA ANALITYCZNA CENY OFERTY&amp;RZałącznik nr 1B
</oddHeader>
    <oddFooter>&amp;C&amp;P z &amp;N</oddFooter>
  </headerFooter>
  <rowBreaks count="3" manualBreakCount="3">
    <brk id="22" max="11" man="1"/>
    <brk id="49" max="11" man="1"/>
    <brk id="7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Techno + Lyra + IH-500</vt:lpstr>
      <vt:lpstr>v.2 Techno</vt:lpstr>
      <vt:lpstr>IH-1000</vt:lpstr>
      <vt:lpstr>FORMULARZ OFERTY</vt:lpstr>
      <vt:lpstr>'FORMULARZ OFERTY'!Obszar_wydruku</vt:lpstr>
      <vt:lpstr>'IH-1000'!Obszar_wydruku</vt:lpstr>
      <vt:lpstr>'Techno + Lyra + IH-500'!Obszar_wydruku</vt:lpstr>
      <vt:lpstr>'v.2 Techno'!Obszar_wydruku</vt:lpstr>
    </vt:vector>
  </TitlesOfParts>
  <Company>DiaHem-POL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DiaHem-POL</dc:creator>
  <cp:lastModifiedBy>RCKiK</cp:lastModifiedBy>
  <cp:lastPrinted>2019-04-15T07:03:08Z</cp:lastPrinted>
  <dcterms:created xsi:type="dcterms:W3CDTF">2008-11-25T08:24:17Z</dcterms:created>
  <dcterms:modified xsi:type="dcterms:W3CDTF">2019-04-15T07:03:15Z</dcterms:modified>
</cp:coreProperties>
</file>